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0" windowWidth="20835" windowHeight="7230" firstSheet="4" activeTab="7"/>
  </bookViews>
  <sheets>
    <sheet name="Meta" sheetId="2" r:id="rId1"/>
    <sheet name="Consolidado Janeiro 2018" sheetId="1" r:id="rId2"/>
    <sheet name="Consolidado fevereiro 2018" sheetId="3" r:id="rId3"/>
    <sheet name="Consolidado Março 2018" sheetId="4" r:id="rId4"/>
    <sheet name="Consolidado Abril 2018" sheetId="5" r:id="rId5"/>
    <sheet name="Consolidado Maio 2018" sheetId="6" r:id="rId6"/>
    <sheet name="Consolidado Junho 2018" sheetId="7" r:id="rId7"/>
    <sheet name="Consolidado Julho 2018" sheetId="8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4">'Consolidado Abril 2018'!$A$61:$S$101</definedName>
    <definedName name="_xlnm.Print_Area" localSheetId="2">'Consolidado fevereiro 2018'!$A$58:$S$100</definedName>
    <definedName name="_xlnm.Print_Area" localSheetId="1">'Consolidado Janeiro 2018'!$A$1:$S$107</definedName>
    <definedName name="_xlnm.Print_Area" localSheetId="7">'Consolidado Julho 2018'!$A$66:$S$121</definedName>
    <definedName name="_xlnm.Print_Area" localSheetId="6">'Consolidado Junho 2018'!$A$107:$S$183</definedName>
    <definedName name="_xlnm.Print_Area" localSheetId="5">'Consolidado Maio 2018'!$A$58:$S$100</definedName>
    <definedName name="_xlnm.Print_Area" localSheetId="3">'Consolidado Março 2018'!$A$1:$S$59</definedName>
  </definedNames>
  <calcPr calcId="145621"/>
</workbook>
</file>

<file path=xl/calcChain.xml><?xml version="1.0" encoding="utf-8"?>
<calcChain xmlns="http://schemas.openxmlformats.org/spreadsheetml/2006/main">
  <c r="M25" i="8" l="1"/>
  <c r="I25" i="8"/>
  <c r="G25" i="8"/>
  <c r="I24" i="8"/>
  <c r="G24" i="8"/>
  <c r="N24" i="8" s="1"/>
  <c r="M42" i="8"/>
  <c r="I42" i="8"/>
  <c r="G42" i="8"/>
  <c r="M50" i="8"/>
  <c r="I50" i="8"/>
  <c r="G50" i="8"/>
  <c r="N50" i="8" s="1"/>
  <c r="M49" i="8"/>
  <c r="N49" i="8" s="1"/>
  <c r="I49" i="8"/>
  <c r="G49" i="8"/>
  <c r="M48" i="8"/>
  <c r="I48" i="8"/>
  <c r="G48" i="8"/>
  <c r="N48" i="8" l="1"/>
  <c r="N25" i="8"/>
  <c r="N42" i="8"/>
  <c r="I12" i="8" l="1"/>
  <c r="I11" i="8"/>
  <c r="I5" i="8"/>
  <c r="I13" i="8"/>
  <c r="I6" i="8"/>
  <c r="I14" i="8"/>
  <c r="G95" i="8"/>
  <c r="G12" i="8" l="1"/>
  <c r="G11" i="8"/>
  <c r="N102" i="8" l="1"/>
  <c r="K102" i="8"/>
  <c r="H102" i="8"/>
  <c r="E102" i="8"/>
  <c r="N101" i="8"/>
  <c r="K101" i="8"/>
  <c r="H101" i="8"/>
  <c r="E101" i="8"/>
  <c r="N100" i="8"/>
  <c r="K100" i="8"/>
  <c r="H100" i="8"/>
  <c r="E100" i="8"/>
  <c r="N99" i="8"/>
  <c r="K99" i="8"/>
  <c r="H99" i="8"/>
  <c r="N98" i="8"/>
  <c r="K98" i="8"/>
  <c r="H98" i="8"/>
  <c r="E98" i="8"/>
  <c r="B98" i="8"/>
  <c r="I96" i="8"/>
  <c r="G96" i="8"/>
  <c r="I95" i="8"/>
  <c r="I94" i="8"/>
  <c r="G94" i="8"/>
  <c r="M92" i="8"/>
  <c r="I92" i="8"/>
  <c r="G92" i="8"/>
  <c r="M91" i="8"/>
  <c r="I91" i="8"/>
  <c r="G91" i="8"/>
  <c r="G165" i="8" s="1"/>
  <c r="M89" i="8"/>
  <c r="I89" i="8"/>
  <c r="G89" i="8"/>
  <c r="G167" i="8" s="1"/>
  <c r="M88" i="8"/>
  <c r="I88" i="8"/>
  <c r="G88" i="8"/>
  <c r="M87" i="8"/>
  <c r="I87" i="8"/>
  <c r="G87" i="8"/>
  <c r="M86" i="8"/>
  <c r="I86" i="8"/>
  <c r="G86" i="8"/>
  <c r="M85" i="8"/>
  <c r="I85" i="8"/>
  <c r="G85" i="8"/>
  <c r="M83" i="8"/>
  <c r="I83" i="8"/>
  <c r="G83" i="8"/>
  <c r="M82" i="8"/>
  <c r="I82" i="8"/>
  <c r="G82" i="8"/>
  <c r="M81" i="8"/>
  <c r="I81" i="8"/>
  <c r="G81" i="8"/>
  <c r="M80" i="8"/>
  <c r="I80" i="8"/>
  <c r="G80" i="8"/>
  <c r="M77" i="8"/>
  <c r="I77" i="8"/>
  <c r="G77" i="8"/>
  <c r="G166" i="8" s="1"/>
  <c r="M76" i="8"/>
  <c r="I76" i="8"/>
  <c r="G76" i="8"/>
  <c r="M75" i="8"/>
  <c r="I75" i="8"/>
  <c r="G75" i="8"/>
  <c r="M74" i="8"/>
  <c r="I74" i="8"/>
  <c r="G74" i="8"/>
  <c r="M73" i="8"/>
  <c r="I73" i="8"/>
  <c r="G73" i="8"/>
  <c r="M72" i="8"/>
  <c r="I72" i="8"/>
  <c r="G72" i="8"/>
  <c r="M71" i="8"/>
  <c r="I71" i="8"/>
  <c r="G71" i="8"/>
  <c r="G159" i="8" s="1"/>
  <c r="M70" i="8"/>
  <c r="I70" i="8"/>
  <c r="G70" i="8"/>
  <c r="M69" i="8"/>
  <c r="I69" i="8"/>
  <c r="G69" i="8"/>
  <c r="M68" i="8"/>
  <c r="I68" i="8"/>
  <c r="G68" i="8"/>
  <c r="M66" i="8"/>
  <c r="I66" i="8"/>
  <c r="G66" i="8"/>
  <c r="G65" i="8" s="1"/>
  <c r="M64" i="8"/>
  <c r="I64" i="8"/>
  <c r="G64" i="8"/>
  <c r="M63" i="8"/>
  <c r="I63" i="8"/>
  <c r="G63" i="8"/>
  <c r="M59" i="8"/>
  <c r="I59" i="8"/>
  <c r="G59" i="8"/>
  <c r="M58" i="8"/>
  <c r="I58" i="8"/>
  <c r="G58" i="8"/>
  <c r="G170" i="8" s="1"/>
  <c r="M57" i="8"/>
  <c r="I57" i="8"/>
  <c r="G57" i="8"/>
  <c r="G164" i="8" s="1"/>
  <c r="M51" i="8"/>
  <c r="I51" i="8"/>
  <c r="G51" i="8"/>
  <c r="M47" i="8"/>
  <c r="I47" i="8"/>
  <c r="G47" i="8"/>
  <c r="M46" i="8"/>
  <c r="I46" i="8"/>
  <c r="G46" i="8"/>
  <c r="M45" i="8"/>
  <c r="I45" i="8"/>
  <c r="G45" i="8"/>
  <c r="M44" i="8"/>
  <c r="I44" i="8"/>
  <c r="G44" i="8"/>
  <c r="M43" i="8"/>
  <c r="I43" i="8"/>
  <c r="G43" i="8"/>
  <c r="M41" i="8"/>
  <c r="I41" i="8"/>
  <c r="G41" i="8"/>
  <c r="M40" i="8"/>
  <c r="I40" i="8"/>
  <c r="G40" i="8"/>
  <c r="M39" i="8"/>
  <c r="I39" i="8"/>
  <c r="G39" i="8"/>
  <c r="M36" i="8"/>
  <c r="I36" i="8"/>
  <c r="G36" i="8"/>
  <c r="M32" i="8"/>
  <c r="I32" i="8"/>
  <c r="G32" i="8"/>
  <c r="M31" i="8"/>
  <c r="I31" i="8"/>
  <c r="G31" i="8"/>
  <c r="M30" i="8"/>
  <c r="I30" i="8"/>
  <c r="G30" i="8"/>
  <c r="M29" i="8"/>
  <c r="I29" i="8"/>
  <c r="G29" i="8"/>
  <c r="M28" i="8"/>
  <c r="I28" i="8"/>
  <c r="G28" i="8"/>
  <c r="M27" i="8"/>
  <c r="I27" i="8"/>
  <c r="G27" i="8"/>
  <c r="M26" i="8"/>
  <c r="I26" i="8"/>
  <c r="G26" i="8"/>
  <c r="M23" i="8"/>
  <c r="I23" i="8"/>
  <c r="G23" i="8"/>
  <c r="M22" i="8"/>
  <c r="I22" i="8"/>
  <c r="G22" i="8"/>
  <c r="M21" i="8"/>
  <c r="I21" i="8"/>
  <c r="G21" i="8"/>
  <c r="M20" i="8"/>
  <c r="I20" i="8"/>
  <c r="G20" i="8"/>
  <c r="M19" i="8"/>
  <c r="I19" i="8"/>
  <c r="G19" i="8"/>
  <c r="M18" i="8"/>
  <c r="I18" i="8"/>
  <c r="G18" i="8"/>
  <c r="I16" i="8"/>
  <c r="G16" i="8"/>
  <c r="I15" i="8"/>
  <c r="G15" i="8"/>
  <c r="G14" i="8"/>
  <c r="G13" i="8"/>
  <c r="I10" i="8"/>
  <c r="G10" i="8"/>
  <c r="I9" i="8"/>
  <c r="G9" i="8"/>
  <c r="I8" i="8"/>
  <c r="G8" i="8"/>
  <c r="L7" i="8"/>
  <c r="I7" i="8"/>
  <c r="G7" i="8"/>
  <c r="G6" i="8"/>
  <c r="G5" i="8"/>
  <c r="G143" i="8"/>
  <c r="G138" i="8"/>
  <c r="G137" i="8"/>
  <c r="G135" i="8"/>
  <c r="G134" i="8"/>
  <c r="G133" i="8"/>
  <c r="G132" i="8"/>
  <c r="G130" i="8"/>
  <c r="G128" i="8"/>
  <c r="G127" i="8"/>
  <c r="N82" i="8" l="1"/>
  <c r="N83" i="8"/>
  <c r="N64" i="8"/>
  <c r="N80" i="8"/>
  <c r="N28" i="8"/>
  <c r="N36" i="8"/>
  <c r="N44" i="8"/>
  <c r="N18" i="8"/>
  <c r="N68" i="8"/>
  <c r="N87" i="8"/>
  <c r="N92" i="8"/>
  <c r="N72" i="8"/>
  <c r="N86" i="8"/>
  <c r="N40" i="8"/>
  <c r="N31" i="8"/>
  <c r="N21" i="8"/>
  <c r="N32" i="8"/>
  <c r="N39" i="8"/>
  <c r="N41" i="8"/>
  <c r="N51" i="8"/>
  <c r="N58" i="8"/>
  <c r="N69" i="8"/>
  <c r="N71" i="8"/>
  <c r="N81" i="8"/>
  <c r="G84" i="8"/>
  <c r="G145" i="8" s="1"/>
  <c r="N91" i="8"/>
  <c r="H96" i="8"/>
  <c r="N57" i="8"/>
  <c r="G157" i="8"/>
  <c r="N43" i="8"/>
  <c r="G17" i="8"/>
  <c r="G126" i="8" s="1"/>
  <c r="G93" i="8"/>
  <c r="G112" i="8" s="1"/>
  <c r="N23" i="8"/>
  <c r="N70" i="8"/>
  <c r="G4" i="8"/>
  <c r="G125" i="8" s="1"/>
  <c r="N46" i="8"/>
  <c r="N66" i="8"/>
  <c r="N89" i="8"/>
  <c r="G67" i="8"/>
  <c r="G142" i="8" s="1"/>
  <c r="N26" i="8"/>
  <c r="N45" i="8"/>
  <c r="N74" i="8"/>
  <c r="N77" i="8"/>
  <c r="G158" i="8"/>
  <c r="G161" i="8"/>
  <c r="G160" i="8"/>
  <c r="N27" i="8"/>
  <c r="G177" i="8"/>
  <c r="G151" i="8"/>
  <c r="G181" i="8"/>
  <c r="G62" i="8"/>
  <c r="N63" i="8"/>
  <c r="G141" i="8"/>
  <c r="N73" i="8"/>
  <c r="N75" i="8"/>
  <c r="N85" i="8"/>
  <c r="G178" i="8"/>
  <c r="N30" i="8"/>
  <c r="G155" i="8"/>
  <c r="G176" i="8"/>
  <c r="G153" i="8"/>
  <c r="N22" i="8"/>
  <c r="G152" i="8"/>
  <c r="G169" i="8"/>
  <c r="N59" i="8"/>
  <c r="G182" i="8"/>
  <c r="N76" i="8"/>
  <c r="G79" i="8"/>
  <c r="N88" i="8"/>
  <c r="G168" i="8"/>
  <c r="G162" i="8"/>
  <c r="N47" i="8"/>
  <c r="G154" i="8"/>
  <c r="G179" i="8"/>
  <c r="G35" i="8"/>
  <c r="N19" i="8"/>
  <c r="G180" i="8"/>
  <c r="N29" i="8"/>
  <c r="N20" i="8"/>
  <c r="G38" i="8"/>
  <c r="G56" i="8"/>
  <c r="G90" i="8"/>
  <c r="G156" i="8"/>
  <c r="G147" i="8" l="1"/>
  <c r="G120" i="8" s="1"/>
  <c r="G172" i="8"/>
  <c r="G146" i="8"/>
  <c r="G136" i="8"/>
  <c r="G110" i="8"/>
  <c r="E176" i="8" s="1"/>
  <c r="G131" i="8"/>
  <c r="G111" i="8"/>
  <c r="G140" i="8"/>
  <c r="G129" i="8"/>
  <c r="G174" i="8"/>
  <c r="G97" i="8"/>
  <c r="G144" i="8"/>
  <c r="G184" i="8"/>
  <c r="H69" i="8" l="1"/>
  <c r="H46" i="8"/>
  <c r="H70" i="8"/>
  <c r="H47" i="8"/>
  <c r="H71" i="8"/>
  <c r="H72" i="8"/>
  <c r="H49" i="8"/>
  <c r="H42" i="8"/>
  <c r="H50" i="8"/>
  <c r="H43" i="8"/>
  <c r="H51" i="8"/>
  <c r="H44" i="8"/>
  <c r="H45" i="8"/>
  <c r="H48" i="8"/>
  <c r="H24" i="8"/>
  <c r="H25" i="8"/>
  <c r="H32" i="8"/>
  <c r="H20" i="8"/>
  <c r="H23" i="8"/>
  <c r="H19" i="8"/>
  <c r="H21" i="8"/>
  <c r="H22" i="8"/>
  <c r="H152" i="8"/>
  <c r="H11" i="8"/>
  <c r="H12" i="8"/>
  <c r="H13" i="8"/>
  <c r="M112" i="8"/>
  <c r="H162" i="8"/>
  <c r="H172" i="8"/>
  <c r="E179" i="8"/>
  <c r="P93" i="8"/>
  <c r="H79" i="8"/>
  <c r="G124" i="8"/>
  <c r="M110" i="8" s="1"/>
  <c r="H90" i="8"/>
  <c r="H160" i="8"/>
  <c r="H156" i="8"/>
  <c r="H155" i="8"/>
  <c r="H153" i="8"/>
  <c r="H38" i="8"/>
  <c r="I184" i="8"/>
  <c r="H180" i="8"/>
  <c r="H179" i="8"/>
  <c r="G113" i="8"/>
  <c r="H112" i="8" s="1"/>
  <c r="E178" i="8"/>
  <c r="E177" i="8"/>
  <c r="G139" i="8"/>
  <c r="H178" i="8"/>
  <c r="H177" i="8"/>
  <c r="H97" i="8"/>
  <c r="H91" i="8"/>
  <c r="P85" i="8"/>
  <c r="H82" i="8"/>
  <c r="H68" i="8"/>
  <c r="H66" i="8"/>
  <c r="H57" i="8"/>
  <c r="H39" i="8"/>
  <c r="H6" i="8"/>
  <c r="P63" i="8"/>
  <c r="H28" i="8"/>
  <c r="H92" i="8"/>
  <c r="H77" i="8"/>
  <c r="H58" i="8"/>
  <c r="H40" i="8"/>
  <c r="H31" i="8"/>
  <c r="H18" i="8"/>
  <c r="H15" i="8"/>
  <c r="P5" i="8"/>
  <c r="H163" i="8"/>
  <c r="P91" i="8"/>
  <c r="P68" i="8"/>
  <c r="P57" i="8"/>
  <c r="P39" i="8"/>
  <c r="H171" i="8"/>
  <c r="P94" i="8"/>
  <c r="H64" i="8"/>
  <c r="P18" i="8"/>
  <c r="H86" i="8"/>
  <c r="H76" i="8"/>
  <c r="H59" i="8"/>
  <c r="H161" i="8"/>
  <c r="H30" i="8"/>
  <c r="P80" i="8"/>
  <c r="H89" i="8"/>
  <c r="H16" i="8"/>
  <c r="H4" i="8"/>
  <c r="H7" i="8"/>
  <c r="H94" i="8"/>
  <c r="H84" i="8"/>
  <c r="H65" i="8"/>
  <c r="H36" i="8"/>
  <c r="H10" i="8"/>
  <c r="H166" i="8"/>
  <c r="H157" i="8"/>
  <c r="H87" i="8"/>
  <c r="H159" i="8"/>
  <c r="H83" i="8"/>
  <c r="H80" i="8"/>
  <c r="H9" i="8"/>
  <c r="H170" i="8"/>
  <c r="H165" i="8"/>
  <c r="H167" i="8"/>
  <c r="H81" i="8"/>
  <c r="H17" i="8"/>
  <c r="H5" i="8"/>
  <c r="H67" i="8"/>
  <c r="P66" i="8"/>
  <c r="H158" i="8"/>
  <c r="H8" i="8"/>
  <c r="H75" i="8"/>
  <c r="H41" i="8"/>
  <c r="H26" i="8"/>
  <c r="H164" i="8"/>
  <c r="H27" i="8"/>
  <c r="H63" i="8"/>
  <c r="H88" i="8"/>
  <c r="H74" i="8"/>
  <c r="H93" i="8"/>
  <c r="H14" i="8"/>
  <c r="P62" i="8"/>
  <c r="H85" i="8"/>
  <c r="H73" i="8"/>
  <c r="H29" i="8"/>
  <c r="H169" i="8"/>
  <c r="E182" i="8"/>
  <c r="H181" i="8"/>
  <c r="H62" i="8"/>
  <c r="H182" i="8"/>
  <c r="E181" i="8"/>
  <c r="H151" i="8"/>
  <c r="H35" i="8"/>
  <c r="H168" i="8"/>
  <c r="H56" i="8"/>
  <c r="H154" i="8"/>
  <c r="H176" i="8"/>
  <c r="E180" i="8"/>
  <c r="G118" i="8" l="1"/>
  <c r="G123" i="8"/>
  <c r="H110" i="8"/>
  <c r="R93" i="8"/>
  <c r="E184" i="8"/>
  <c r="H184" i="8"/>
  <c r="H174" i="8"/>
  <c r="P97" i="8"/>
  <c r="H111" i="8"/>
  <c r="M111" i="8"/>
  <c r="M113" i="8" s="1"/>
  <c r="N112" i="8" s="1"/>
  <c r="G119" i="8"/>
  <c r="G121" i="8" l="1"/>
  <c r="H132" i="8" s="1"/>
  <c r="H113" i="8"/>
  <c r="N111" i="8"/>
  <c r="N110" i="8"/>
  <c r="H136" i="8" l="1"/>
  <c r="H125" i="8"/>
  <c r="H133" i="8"/>
  <c r="H129" i="8"/>
  <c r="H135" i="8"/>
  <c r="H147" i="8"/>
  <c r="H119" i="8"/>
  <c r="H134" i="8"/>
  <c r="H126" i="8"/>
  <c r="H144" i="8"/>
  <c r="H145" i="8"/>
  <c r="H120" i="8"/>
  <c r="H141" i="8"/>
  <c r="H128" i="8"/>
  <c r="H118" i="8"/>
  <c r="H140" i="8"/>
  <c r="H143" i="8"/>
  <c r="H139" i="8"/>
  <c r="H146" i="8"/>
  <c r="H137" i="8"/>
  <c r="H130" i="8"/>
  <c r="H123" i="8"/>
  <c r="H131" i="8"/>
  <c r="H127" i="8"/>
  <c r="H138" i="8"/>
  <c r="H124" i="8"/>
  <c r="H142" i="8"/>
  <c r="N113" i="8"/>
  <c r="H121" i="8" l="1"/>
  <c r="G178" i="2"/>
  <c r="H178" i="2"/>
  <c r="I178" i="2"/>
  <c r="M87" i="7" l="1"/>
  <c r="G94" i="7" l="1"/>
  <c r="M68" i="7" l="1"/>
  <c r="I68" i="7"/>
  <c r="G68" i="7"/>
  <c r="M67" i="7"/>
  <c r="I67" i="7"/>
  <c r="G67" i="7"/>
  <c r="N68" i="7" l="1"/>
  <c r="N67" i="7"/>
  <c r="N100" i="7" l="1"/>
  <c r="K100" i="7"/>
  <c r="H100" i="7"/>
  <c r="E100" i="7"/>
  <c r="N99" i="7"/>
  <c r="K99" i="7"/>
  <c r="H99" i="7"/>
  <c r="E99" i="7"/>
  <c r="N98" i="7"/>
  <c r="K98" i="7"/>
  <c r="H98" i="7"/>
  <c r="E98" i="7"/>
  <c r="N97" i="7"/>
  <c r="K97" i="7"/>
  <c r="H97" i="7"/>
  <c r="N96" i="7"/>
  <c r="K96" i="7"/>
  <c r="H96" i="7"/>
  <c r="E96" i="7"/>
  <c r="B96" i="7"/>
  <c r="I94" i="7"/>
  <c r="I93" i="7"/>
  <c r="G93" i="7"/>
  <c r="I92" i="7"/>
  <c r="G92" i="7"/>
  <c r="M90" i="7"/>
  <c r="I90" i="7"/>
  <c r="G90" i="7"/>
  <c r="G159" i="7" s="1"/>
  <c r="M89" i="7"/>
  <c r="I89" i="7"/>
  <c r="G89" i="7"/>
  <c r="I87" i="7"/>
  <c r="G87" i="7"/>
  <c r="G165" i="7" s="1"/>
  <c r="M86" i="7"/>
  <c r="I86" i="7"/>
  <c r="G86" i="7"/>
  <c r="M85" i="7"/>
  <c r="I85" i="7"/>
  <c r="G85" i="7"/>
  <c r="M84" i="7"/>
  <c r="I84" i="7"/>
  <c r="G84" i="7"/>
  <c r="M83" i="7"/>
  <c r="I83" i="7"/>
  <c r="G83" i="7"/>
  <c r="M81" i="7"/>
  <c r="I81" i="7"/>
  <c r="G81" i="7"/>
  <c r="M80" i="7"/>
  <c r="I80" i="7"/>
  <c r="G80" i="7"/>
  <c r="M79" i="7"/>
  <c r="I79" i="7"/>
  <c r="G79" i="7"/>
  <c r="M78" i="7"/>
  <c r="I78" i="7"/>
  <c r="G78" i="7"/>
  <c r="M75" i="7"/>
  <c r="I75" i="7"/>
  <c r="G75" i="7"/>
  <c r="M74" i="7"/>
  <c r="I74" i="7"/>
  <c r="G74" i="7"/>
  <c r="M73" i="7"/>
  <c r="I73" i="7"/>
  <c r="G73" i="7"/>
  <c r="M72" i="7"/>
  <c r="I72" i="7"/>
  <c r="G72" i="7"/>
  <c r="M71" i="7"/>
  <c r="I71" i="7"/>
  <c r="G71" i="7"/>
  <c r="M70" i="7"/>
  <c r="I70" i="7"/>
  <c r="G70" i="7"/>
  <c r="M69" i="7"/>
  <c r="I69" i="7"/>
  <c r="G69" i="7"/>
  <c r="G157" i="7" s="1"/>
  <c r="M66" i="7"/>
  <c r="I66" i="7"/>
  <c r="G66" i="7"/>
  <c r="M64" i="7"/>
  <c r="I64" i="7"/>
  <c r="G64" i="7"/>
  <c r="M62" i="7"/>
  <c r="I62" i="7"/>
  <c r="G62" i="7"/>
  <c r="M61" i="7"/>
  <c r="I61" i="7"/>
  <c r="G61" i="7"/>
  <c r="M57" i="7"/>
  <c r="I57" i="7"/>
  <c r="G57" i="7"/>
  <c r="M56" i="7"/>
  <c r="I56" i="7"/>
  <c r="G56" i="7"/>
  <c r="M55" i="7"/>
  <c r="I55" i="7"/>
  <c r="G55" i="7"/>
  <c r="M49" i="7"/>
  <c r="I49" i="7"/>
  <c r="G49" i="7"/>
  <c r="M48" i="7"/>
  <c r="I48" i="7"/>
  <c r="G48" i="7"/>
  <c r="M47" i="7"/>
  <c r="I47" i="7"/>
  <c r="G47" i="7"/>
  <c r="M46" i="7"/>
  <c r="I46" i="7"/>
  <c r="G46" i="7"/>
  <c r="M45" i="7"/>
  <c r="I45" i="7"/>
  <c r="G45" i="7"/>
  <c r="M44" i="7"/>
  <c r="I44" i="7"/>
  <c r="G44" i="7"/>
  <c r="M43" i="7"/>
  <c r="I43" i="7"/>
  <c r="G43" i="7"/>
  <c r="M42" i="7"/>
  <c r="I42" i="7"/>
  <c r="G42" i="7"/>
  <c r="M41" i="7"/>
  <c r="I41" i="7"/>
  <c r="G41" i="7"/>
  <c r="M38" i="7"/>
  <c r="I38" i="7"/>
  <c r="G38" i="7"/>
  <c r="M37" i="7"/>
  <c r="I37" i="7"/>
  <c r="G37" i="7"/>
  <c r="M36" i="7"/>
  <c r="I36" i="7"/>
  <c r="G36" i="7"/>
  <c r="M35" i="7"/>
  <c r="I35" i="7"/>
  <c r="G35" i="7"/>
  <c r="M34" i="7"/>
  <c r="I34" i="7"/>
  <c r="G34" i="7"/>
  <c r="M33" i="7"/>
  <c r="I33" i="7"/>
  <c r="G33" i="7"/>
  <c r="M32" i="7"/>
  <c r="I32" i="7"/>
  <c r="G32" i="7"/>
  <c r="M28" i="7"/>
  <c r="I28" i="7"/>
  <c r="G28" i="7"/>
  <c r="M27" i="7"/>
  <c r="I27" i="7"/>
  <c r="G27" i="7"/>
  <c r="M26" i="7"/>
  <c r="I26" i="7"/>
  <c r="G26" i="7"/>
  <c r="M25" i="7"/>
  <c r="I25" i="7"/>
  <c r="G25" i="7"/>
  <c r="M24" i="7"/>
  <c r="I24" i="7"/>
  <c r="G24" i="7"/>
  <c r="M23" i="7"/>
  <c r="I23" i="7"/>
  <c r="G23" i="7"/>
  <c r="M22" i="7"/>
  <c r="I22" i="7"/>
  <c r="G22" i="7"/>
  <c r="M21" i="7"/>
  <c r="I21" i="7"/>
  <c r="G21" i="7"/>
  <c r="M20" i="7"/>
  <c r="I20" i="7"/>
  <c r="G20" i="7"/>
  <c r="M19" i="7"/>
  <c r="I19" i="7"/>
  <c r="G19" i="7"/>
  <c r="M18" i="7"/>
  <c r="I18" i="7"/>
  <c r="G18" i="7"/>
  <c r="M17" i="7"/>
  <c r="I17" i="7"/>
  <c r="G17" i="7"/>
  <c r="M16" i="7"/>
  <c r="I16" i="7"/>
  <c r="G16" i="7"/>
  <c r="I14" i="7"/>
  <c r="G14" i="7"/>
  <c r="I13" i="7"/>
  <c r="G13" i="7"/>
  <c r="I12" i="7"/>
  <c r="G12" i="7"/>
  <c r="I11" i="7"/>
  <c r="G11" i="7"/>
  <c r="I10" i="7"/>
  <c r="G10" i="7"/>
  <c r="I9" i="7"/>
  <c r="G9" i="7"/>
  <c r="I8" i="7"/>
  <c r="G8" i="7"/>
  <c r="L7" i="7"/>
  <c r="I7" i="7"/>
  <c r="G7" i="7"/>
  <c r="I6" i="7"/>
  <c r="G6" i="7"/>
  <c r="I5" i="7"/>
  <c r="G5" i="7"/>
  <c r="G141" i="7"/>
  <c r="G136" i="7"/>
  <c r="G135" i="7"/>
  <c r="G133" i="7"/>
  <c r="G132" i="7"/>
  <c r="G131" i="7"/>
  <c r="G130" i="7"/>
  <c r="G128" i="7"/>
  <c r="G126" i="7"/>
  <c r="G125" i="7"/>
  <c r="N16" i="7" l="1"/>
  <c r="G177" i="7"/>
  <c r="N61" i="7"/>
  <c r="N84" i="7"/>
  <c r="N27" i="7"/>
  <c r="N66" i="7"/>
  <c r="N78" i="7"/>
  <c r="N73" i="7"/>
  <c r="G152" i="7"/>
  <c r="H67" i="7"/>
  <c r="H68" i="7"/>
  <c r="G175" i="7"/>
  <c r="N36" i="7"/>
  <c r="N46" i="7"/>
  <c r="N62" i="7"/>
  <c r="N74" i="7"/>
  <c r="N85" i="7"/>
  <c r="H19" i="7"/>
  <c r="N19" i="7"/>
  <c r="G180" i="7"/>
  <c r="G150" i="7"/>
  <c r="N22" i="7"/>
  <c r="N43" i="7"/>
  <c r="N56" i="7"/>
  <c r="N81" i="7"/>
  <c r="G88" i="7"/>
  <c r="G144" i="7" s="1"/>
  <c r="H94" i="7"/>
  <c r="N55" i="7"/>
  <c r="N87" i="7"/>
  <c r="N34" i="7"/>
  <c r="N26" i="7"/>
  <c r="N64" i="7"/>
  <c r="N86" i="7"/>
  <c r="N21" i="7"/>
  <c r="N42" i="7"/>
  <c r="N70" i="7"/>
  <c r="N80" i="7"/>
  <c r="N24" i="7"/>
  <c r="G77" i="7"/>
  <c r="G142" i="7" s="1"/>
  <c r="G160" i="7"/>
  <c r="G178" i="7"/>
  <c r="N28" i="7"/>
  <c r="G179" i="7"/>
  <c r="G153" i="7"/>
  <c r="G91" i="7"/>
  <c r="G110" i="7" s="1"/>
  <c r="N47" i="7"/>
  <c r="N57" i="7"/>
  <c r="N72" i="7"/>
  <c r="N83" i="7"/>
  <c r="G63" i="7"/>
  <c r="G139" i="7" s="1"/>
  <c r="G162" i="7"/>
  <c r="N33" i="7"/>
  <c r="N45" i="7"/>
  <c r="G155" i="7"/>
  <c r="N71" i="7"/>
  <c r="N44" i="7"/>
  <c r="N41" i="7"/>
  <c r="N69" i="7"/>
  <c r="N89" i="7"/>
  <c r="G151" i="7"/>
  <c r="G156" i="7"/>
  <c r="G149" i="7"/>
  <c r="G166" i="7"/>
  <c r="N17" i="7"/>
  <c r="N25" i="7"/>
  <c r="G31" i="7"/>
  <c r="N37" i="7"/>
  <c r="N48" i="7"/>
  <c r="G60" i="7"/>
  <c r="N75" i="7"/>
  <c r="G82" i="7"/>
  <c r="N90" i="7"/>
  <c r="G164" i="7"/>
  <c r="G168" i="7"/>
  <c r="G174" i="7"/>
  <c r="G4" i="7"/>
  <c r="G15" i="7"/>
  <c r="H17" i="7"/>
  <c r="N18" i="7"/>
  <c r="N38" i="7"/>
  <c r="N49" i="7"/>
  <c r="N79" i="7"/>
  <c r="G154" i="7"/>
  <c r="G158" i="7"/>
  <c r="N23" i="7"/>
  <c r="N32" i="7"/>
  <c r="N35" i="7"/>
  <c r="G40" i="7"/>
  <c r="G54" i="7"/>
  <c r="G65" i="7"/>
  <c r="G163" i="7"/>
  <c r="G167" i="7"/>
  <c r="G176" i="7"/>
  <c r="H28" i="7"/>
  <c r="N20" i="7"/>
  <c r="G108" i="7" l="1"/>
  <c r="E176" i="7" s="1"/>
  <c r="G109" i="7"/>
  <c r="G170" i="7"/>
  <c r="G172" i="7" s="1"/>
  <c r="G145" i="7"/>
  <c r="M110" i="7" s="1"/>
  <c r="G140" i="7"/>
  <c r="G134" i="7"/>
  <c r="G129" i="7"/>
  <c r="G95" i="7"/>
  <c r="P91" i="7" s="1"/>
  <c r="G123" i="7"/>
  <c r="G138" i="7"/>
  <c r="G124" i="7"/>
  <c r="G182" i="7"/>
  <c r="G127" i="7"/>
  <c r="G143" i="7"/>
  <c r="G118" i="7" l="1"/>
  <c r="H60" i="7"/>
  <c r="H158" i="7"/>
  <c r="H170" i="7"/>
  <c r="H31" i="7"/>
  <c r="H40" i="7"/>
  <c r="H166" i="7"/>
  <c r="H54" i="7"/>
  <c r="H4" i="7"/>
  <c r="H65" i="7"/>
  <c r="H82" i="7"/>
  <c r="I182" i="7"/>
  <c r="H179" i="7"/>
  <c r="H180" i="7"/>
  <c r="H177" i="7"/>
  <c r="H175" i="7"/>
  <c r="H178" i="7"/>
  <c r="H174" i="7"/>
  <c r="G111" i="7"/>
  <c r="H110" i="7" s="1"/>
  <c r="E178" i="7"/>
  <c r="E175" i="7"/>
  <c r="E179" i="7"/>
  <c r="E177" i="7"/>
  <c r="E174" i="7"/>
  <c r="G137" i="7"/>
  <c r="H95" i="7"/>
  <c r="P83" i="7"/>
  <c r="P32" i="7"/>
  <c r="P5" i="7"/>
  <c r="P89" i="7"/>
  <c r="P16" i="7"/>
  <c r="H169" i="7"/>
  <c r="H84" i="7"/>
  <c r="H71" i="7"/>
  <c r="H64" i="7"/>
  <c r="H55" i="7"/>
  <c r="H41" i="7"/>
  <c r="H21" i="7"/>
  <c r="H11" i="7"/>
  <c r="P66" i="7"/>
  <c r="P64" i="7"/>
  <c r="P55" i="7"/>
  <c r="P41" i="7"/>
  <c r="H6" i="7"/>
  <c r="P92" i="7"/>
  <c r="P78" i="7"/>
  <c r="P61" i="7"/>
  <c r="H161" i="7"/>
  <c r="H66" i="7"/>
  <c r="H44" i="7"/>
  <c r="H33" i="7"/>
  <c r="H35" i="7"/>
  <c r="H69" i="7"/>
  <c r="H91" i="7"/>
  <c r="H74" i="7"/>
  <c r="H83" i="7"/>
  <c r="H75" i="7"/>
  <c r="H72" i="7"/>
  <c r="H56" i="7"/>
  <c r="H43" i="7"/>
  <c r="H24" i="7"/>
  <c r="H49" i="7"/>
  <c r="H165" i="7"/>
  <c r="H153" i="7"/>
  <c r="H47" i="7"/>
  <c r="H85" i="7"/>
  <c r="H48" i="7"/>
  <c r="H7" i="7"/>
  <c r="H32" i="7"/>
  <c r="H12" i="7"/>
  <c r="H80" i="7"/>
  <c r="H79" i="7"/>
  <c r="H42" i="7"/>
  <c r="H26" i="7"/>
  <c r="H61" i="7"/>
  <c r="H37" i="7"/>
  <c r="H38" i="7"/>
  <c r="H62" i="7"/>
  <c r="H81" i="7"/>
  <c r="H77" i="7"/>
  <c r="H73" i="7"/>
  <c r="H159" i="7"/>
  <c r="H162" i="7"/>
  <c r="H87" i="7"/>
  <c r="H10" i="7"/>
  <c r="H92" i="7"/>
  <c r="H89" i="7"/>
  <c r="H8" i="7"/>
  <c r="H18" i="7"/>
  <c r="H160" i="7"/>
  <c r="H88" i="7"/>
  <c r="H23" i="7"/>
  <c r="H150" i="7"/>
  <c r="H151" i="7"/>
  <c r="H36" i="7"/>
  <c r="H22" i="7"/>
  <c r="H9" i="7"/>
  <c r="H78" i="7"/>
  <c r="H20" i="7"/>
  <c r="H90" i="7"/>
  <c r="H25" i="7"/>
  <c r="H16" i="7"/>
  <c r="H63" i="7"/>
  <c r="H45" i="7"/>
  <c r="H34" i="7"/>
  <c r="H57" i="7"/>
  <c r="H152" i="7"/>
  <c r="H155" i="7"/>
  <c r="H157" i="7"/>
  <c r="H27" i="7"/>
  <c r="H14" i="7"/>
  <c r="H5" i="7"/>
  <c r="H46" i="7"/>
  <c r="H70" i="7"/>
  <c r="H13" i="7"/>
  <c r="H86" i="7"/>
  <c r="H154" i="7"/>
  <c r="P60" i="7"/>
  <c r="H164" i="7"/>
  <c r="H168" i="7"/>
  <c r="H149" i="7"/>
  <c r="H163" i="7"/>
  <c r="H156" i="7"/>
  <c r="H15" i="7"/>
  <c r="H167" i="7"/>
  <c r="E180" i="7"/>
  <c r="G122" i="7"/>
  <c r="H176" i="7"/>
  <c r="P95" i="7" l="1"/>
  <c r="H108" i="7"/>
  <c r="E182" i="7"/>
  <c r="H109" i="7"/>
  <c r="R91" i="7"/>
  <c r="G121" i="7"/>
  <c r="M108" i="7"/>
  <c r="G116" i="7"/>
  <c r="H172" i="7"/>
  <c r="M109" i="7"/>
  <c r="G117" i="7"/>
  <c r="H182" i="7"/>
  <c r="H111" i="7" l="1"/>
  <c r="M111" i="7"/>
  <c r="N110" i="7" s="1"/>
  <c r="G119" i="7"/>
  <c r="H121" i="7" s="1"/>
  <c r="N108" i="7" l="1"/>
  <c r="H116" i="7"/>
  <c r="H144" i="7"/>
  <c r="H132" i="7"/>
  <c r="H128" i="7"/>
  <c r="H136" i="7"/>
  <c r="H126" i="7"/>
  <c r="H141" i="7"/>
  <c r="H135" i="7"/>
  <c r="H142" i="7"/>
  <c r="H133" i="7"/>
  <c r="H130" i="7"/>
  <c r="H131" i="7"/>
  <c r="H125" i="7"/>
  <c r="H139" i="7"/>
  <c r="H145" i="7"/>
  <c r="H127" i="7"/>
  <c r="H129" i="7"/>
  <c r="H138" i="7"/>
  <c r="H118" i="7"/>
  <c r="H124" i="7"/>
  <c r="H134" i="7"/>
  <c r="H140" i="7"/>
  <c r="H123" i="7"/>
  <c r="H143" i="7"/>
  <c r="H122" i="7"/>
  <c r="H137" i="7"/>
  <c r="N109" i="7"/>
  <c r="H117" i="7"/>
  <c r="H119" i="7" l="1"/>
  <c r="N111" i="7"/>
  <c r="S101" i="7" l="1"/>
  <c r="I45" i="6" l="1"/>
  <c r="I28" i="6"/>
  <c r="L7" i="6" l="1"/>
  <c r="M83" i="6" l="1"/>
  <c r="I83" i="6"/>
  <c r="G83" i="6"/>
  <c r="M82" i="6"/>
  <c r="I82" i="6"/>
  <c r="G82" i="6"/>
  <c r="N83" i="6" l="1"/>
  <c r="N82" i="6"/>
  <c r="M28" i="6" l="1"/>
  <c r="G28" i="6"/>
  <c r="N98" i="6"/>
  <c r="E98" i="6"/>
  <c r="N97" i="6"/>
  <c r="E97" i="6"/>
  <c r="N96" i="6"/>
  <c r="E96" i="6"/>
  <c r="N95" i="6"/>
  <c r="N94" i="6"/>
  <c r="E94" i="6"/>
  <c r="B94" i="6"/>
  <c r="K98" i="6"/>
  <c r="H98" i="6"/>
  <c r="K97" i="6"/>
  <c r="H97" i="6"/>
  <c r="K96" i="6"/>
  <c r="H96" i="6"/>
  <c r="K95" i="6"/>
  <c r="H95" i="6"/>
  <c r="K94" i="6"/>
  <c r="H94" i="6"/>
  <c r="I92" i="6"/>
  <c r="G92" i="6"/>
  <c r="I91" i="6"/>
  <c r="G91" i="6"/>
  <c r="I90" i="6"/>
  <c r="G90" i="6"/>
  <c r="M88" i="6"/>
  <c r="I88" i="6"/>
  <c r="G88" i="6"/>
  <c r="G157" i="6" s="1"/>
  <c r="M87" i="6"/>
  <c r="I87" i="6"/>
  <c r="G87" i="6"/>
  <c r="G161" i="6" s="1"/>
  <c r="M85" i="6"/>
  <c r="I85" i="6"/>
  <c r="G85" i="6"/>
  <c r="G163" i="6" s="1"/>
  <c r="M84" i="6"/>
  <c r="I84" i="6"/>
  <c r="G84" i="6"/>
  <c r="M81" i="6"/>
  <c r="I81" i="6"/>
  <c r="G81" i="6"/>
  <c r="G158" i="6" s="1"/>
  <c r="M79" i="6"/>
  <c r="I79" i="6"/>
  <c r="G79" i="6"/>
  <c r="M78" i="6"/>
  <c r="I78" i="6"/>
  <c r="G78" i="6"/>
  <c r="M77" i="6"/>
  <c r="I77" i="6"/>
  <c r="G77" i="6"/>
  <c r="M76" i="6"/>
  <c r="I76" i="6"/>
  <c r="G76" i="6"/>
  <c r="M73" i="6"/>
  <c r="I73" i="6"/>
  <c r="G73" i="6"/>
  <c r="G162" i="6" s="1"/>
  <c r="M72" i="6"/>
  <c r="I72" i="6"/>
  <c r="G72" i="6"/>
  <c r="M71" i="6"/>
  <c r="I71" i="6"/>
  <c r="G71" i="6"/>
  <c r="M70" i="6"/>
  <c r="I70" i="6"/>
  <c r="G70" i="6"/>
  <c r="M69" i="6"/>
  <c r="I69" i="6"/>
  <c r="G69" i="6"/>
  <c r="M68" i="6"/>
  <c r="I68" i="6"/>
  <c r="G68" i="6"/>
  <c r="M67" i="6"/>
  <c r="I67" i="6"/>
  <c r="G67" i="6"/>
  <c r="G155" i="6" s="1"/>
  <c r="M66" i="6"/>
  <c r="I66" i="6"/>
  <c r="G66" i="6"/>
  <c r="M64" i="6"/>
  <c r="I64" i="6"/>
  <c r="G64" i="6"/>
  <c r="M62" i="6"/>
  <c r="I62" i="6"/>
  <c r="G62" i="6"/>
  <c r="M61" i="6"/>
  <c r="I61" i="6"/>
  <c r="G61" i="6"/>
  <c r="M57" i="6"/>
  <c r="I57" i="6"/>
  <c r="G57" i="6"/>
  <c r="M56" i="6"/>
  <c r="I56" i="6"/>
  <c r="G56" i="6"/>
  <c r="G166" i="6" s="1"/>
  <c r="M55" i="6"/>
  <c r="I55" i="6"/>
  <c r="G55" i="6"/>
  <c r="M49" i="6"/>
  <c r="I49" i="6"/>
  <c r="G49" i="6"/>
  <c r="M48" i="6"/>
  <c r="I48" i="6"/>
  <c r="G48" i="6"/>
  <c r="M47" i="6"/>
  <c r="I47" i="6"/>
  <c r="G47" i="6"/>
  <c r="M46" i="6"/>
  <c r="I46" i="6"/>
  <c r="G46" i="6"/>
  <c r="M45" i="6"/>
  <c r="G45" i="6"/>
  <c r="M44" i="6"/>
  <c r="I44" i="6"/>
  <c r="G44" i="6"/>
  <c r="M43" i="6"/>
  <c r="I43" i="6"/>
  <c r="G43" i="6"/>
  <c r="M42" i="6"/>
  <c r="I42" i="6"/>
  <c r="G42" i="6"/>
  <c r="M41" i="6"/>
  <c r="I41" i="6"/>
  <c r="G41" i="6"/>
  <c r="M38" i="6"/>
  <c r="I38" i="6"/>
  <c r="G38" i="6"/>
  <c r="M37" i="6"/>
  <c r="I37" i="6"/>
  <c r="G37" i="6"/>
  <c r="M36" i="6"/>
  <c r="I36" i="6"/>
  <c r="G36" i="6"/>
  <c r="M35" i="6"/>
  <c r="I35" i="6"/>
  <c r="G35" i="6"/>
  <c r="M34" i="6"/>
  <c r="I34" i="6"/>
  <c r="G34" i="6"/>
  <c r="M33" i="6"/>
  <c r="I33" i="6"/>
  <c r="G33" i="6"/>
  <c r="M32" i="6"/>
  <c r="I32" i="6"/>
  <c r="G32" i="6"/>
  <c r="M27" i="6"/>
  <c r="I27" i="6"/>
  <c r="G27" i="6"/>
  <c r="M26" i="6"/>
  <c r="I26" i="6"/>
  <c r="G26" i="6"/>
  <c r="M25" i="6"/>
  <c r="I25" i="6"/>
  <c r="G25" i="6"/>
  <c r="M24" i="6"/>
  <c r="I24" i="6"/>
  <c r="G24" i="6"/>
  <c r="M23" i="6"/>
  <c r="I23" i="6"/>
  <c r="G23" i="6"/>
  <c r="G156" i="6" s="1"/>
  <c r="M22" i="6"/>
  <c r="I22" i="6"/>
  <c r="G22" i="6"/>
  <c r="M21" i="6"/>
  <c r="I21" i="6"/>
  <c r="G21" i="6"/>
  <c r="M20" i="6"/>
  <c r="I20" i="6"/>
  <c r="G20" i="6"/>
  <c r="M19" i="6"/>
  <c r="I19" i="6"/>
  <c r="G19" i="6"/>
  <c r="M18" i="6"/>
  <c r="I18" i="6"/>
  <c r="G18" i="6"/>
  <c r="M17" i="6"/>
  <c r="I17" i="6"/>
  <c r="G17" i="6"/>
  <c r="M16" i="6"/>
  <c r="I16" i="6"/>
  <c r="G16" i="6"/>
  <c r="I14" i="6"/>
  <c r="G14" i="6"/>
  <c r="I13" i="6"/>
  <c r="G13" i="6"/>
  <c r="I12" i="6"/>
  <c r="G12" i="6"/>
  <c r="I11" i="6"/>
  <c r="G11" i="6"/>
  <c r="I10" i="6"/>
  <c r="G10" i="6"/>
  <c r="I9" i="6"/>
  <c r="G9" i="6"/>
  <c r="I8" i="6"/>
  <c r="G8" i="6"/>
  <c r="I7" i="6"/>
  <c r="G7" i="6"/>
  <c r="I6" i="6"/>
  <c r="G6" i="6"/>
  <c r="I5" i="6"/>
  <c r="G5" i="6"/>
  <c r="G139" i="6"/>
  <c r="G134" i="6"/>
  <c r="G133" i="6"/>
  <c r="G131" i="6"/>
  <c r="G130" i="6"/>
  <c r="G129" i="6"/>
  <c r="G128" i="6"/>
  <c r="G126" i="6"/>
  <c r="G124" i="6"/>
  <c r="G123" i="6"/>
  <c r="G150" i="6" l="1"/>
  <c r="G152" i="6"/>
  <c r="G148" i="6"/>
  <c r="G177" i="6"/>
  <c r="G151" i="6"/>
  <c r="G147" i="6"/>
  <c r="G149" i="6"/>
  <c r="G154" i="6"/>
  <c r="G153" i="6"/>
  <c r="N61" i="6"/>
  <c r="N27" i="6"/>
  <c r="N49" i="6"/>
  <c r="N87" i="6"/>
  <c r="N81" i="6"/>
  <c r="N28" i="6"/>
  <c r="G174" i="6"/>
  <c r="N42" i="6"/>
  <c r="G173" i="6"/>
  <c r="N16" i="6"/>
  <c r="G60" i="6"/>
  <c r="G136" i="6" s="1"/>
  <c r="N76" i="6"/>
  <c r="N56" i="6"/>
  <c r="N88" i="6"/>
  <c r="N68" i="6"/>
  <c r="N22" i="6"/>
  <c r="N34" i="6"/>
  <c r="N46" i="6"/>
  <c r="N57" i="6"/>
  <c r="N62" i="6"/>
  <c r="N70" i="6"/>
  <c r="N85" i="6"/>
  <c r="S99" i="6"/>
  <c r="N47" i="6"/>
  <c r="N21" i="6"/>
  <c r="N45" i="6"/>
  <c r="N71" i="6"/>
  <c r="N24" i="6"/>
  <c r="N38" i="6"/>
  <c r="N48" i="6"/>
  <c r="N43" i="6"/>
  <c r="N79" i="6"/>
  <c r="H19" i="6"/>
  <c r="N78" i="6"/>
  <c r="N35" i="6"/>
  <c r="N19" i="6"/>
  <c r="N33" i="6"/>
  <c r="G172" i="6"/>
  <c r="N36" i="6"/>
  <c r="N73" i="6"/>
  <c r="G175" i="6"/>
  <c r="N18" i="6"/>
  <c r="N26" i="6"/>
  <c r="N77" i="6"/>
  <c r="G89" i="6"/>
  <c r="G168" i="6" s="1"/>
  <c r="G31" i="6"/>
  <c r="G125" i="6" s="1"/>
  <c r="N72" i="6"/>
  <c r="H92" i="6"/>
  <c r="N67" i="6"/>
  <c r="G80" i="6"/>
  <c r="G141" i="6" s="1"/>
  <c r="G165" i="6"/>
  <c r="G4" i="6"/>
  <c r="N44" i="6"/>
  <c r="N84" i="6"/>
  <c r="G164" i="6"/>
  <c r="N25" i="6"/>
  <c r="N69" i="6"/>
  <c r="N37" i="6"/>
  <c r="G63" i="6"/>
  <c r="N64" i="6"/>
  <c r="G176" i="6"/>
  <c r="N17" i="6"/>
  <c r="H17" i="6"/>
  <c r="G15" i="6"/>
  <c r="G54" i="6"/>
  <c r="G160" i="6"/>
  <c r="N55" i="6"/>
  <c r="G178" i="6"/>
  <c r="N20" i="6"/>
  <c r="G65" i="6"/>
  <c r="N66" i="6"/>
  <c r="G75" i="6"/>
  <c r="N23" i="6"/>
  <c r="N32" i="6"/>
  <c r="G40" i="6"/>
  <c r="G86" i="6"/>
  <c r="N41" i="6"/>
  <c r="S98" i="6" l="1"/>
  <c r="S100" i="6" s="1"/>
  <c r="G100" i="6" s="1"/>
  <c r="G143" i="6"/>
  <c r="G116" i="6" s="1"/>
  <c r="G108" i="6"/>
  <c r="G142" i="6"/>
  <c r="G122" i="6"/>
  <c r="G140" i="6"/>
  <c r="G138" i="6"/>
  <c r="G180" i="6"/>
  <c r="H176" i="6" s="1"/>
  <c r="G107" i="6"/>
  <c r="G127" i="6"/>
  <c r="G137" i="6"/>
  <c r="G132" i="6"/>
  <c r="G170" i="6"/>
  <c r="G121" i="6"/>
  <c r="G93" i="6"/>
  <c r="G106" i="6"/>
  <c r="E173" i="6" s="1"/>
  <c r="P41" i="6" l="1"/>
  <c r="H28" i="6"/>
  <c r="H82" i="6"/>
  <c r="H83" i="6"/>
  <c r="H173" i="6"/>
  <c r="G135" i="6"/>
  <c r="M107" i="6" s="1"/>
  <c r="M108" i="6"/>
  <c r="E176" i="6"/>
  <c r="P90" i="6"/>
  <c r="H70" i="6"/>
  <c r="H45" i="6"/>
  <c r="H38" i="6"/>
  <c r="H26" i="6"/>
  <c r="H18" i="6"/>
  <c r="H14" i="6"/>
  <c r="H88" i="6"/>
  <c r="H81" i="6"/>
  <c r="P32" i="6"/>
  <c r="H93" i="6"/>
  <c r="H87" i="6"/>
  <c r="H73" i="6"/>
  <c r="P66" i="6"/>
  <c r="P55" i="6"/>
  <c r="H48" i="6"/>
  <c r="H33" i="6"/>
  <c r="H21" i="6"/>
  <c r="H6" i="6"/>
  <c r="H46" i="6"/>
  <c r="H16" i="6"/>
  <c r="H13" i="6"/>
  <c r="H71" i="6"/>
  <c r="H27" i="6"/>
  <c r="P5" i="6"/>
  <c r="H167" i="6"/>
  <c r="P87" i="6"/>
  <c r="H35" i="6"/>
  <c r="P61" i="6"/>
  <c r="H78" i="6"/>
  <c r="H67" i="6"/>
  <c r="H23" i="6"/>
  <c r="P16" i="6"/>
  <c r="H56" i="6"/>
  <c r="H42" i="6"/>
  <c r="H32" i="6"/>
  <c r="H9" i="6"/>
  <c r="P81" i="6"/>
  <c r="P76" i="6"/>
  <c r="H20" i="6"/>
  <c r="H25" i="6"/>
  <c r="H77" i="6"/>
  <c r="H34" i="6"/>
  <c r="H7" i="6"/>
  <c r="H44" i="6"/>
  <c r="H165" i="6"/>
  <c r="H5" i="6"/>
  <c r="H69" i="6"/>
  <c r="H47" i="6"/>
  <c r="H12" i="6"/>
  <c r="H79" i="6"/>
  <c r="H37" i="6"/>
  <c r="H166" i="6"/>
  <c r="H72" i="6"/>
  <c r="H89" i="6"/>
  <c r="H84" i="6"/>
  <c r="H24" i="6"/>
  <c r="H8" i="6"/>
  <c r="H158" i="6"/>
  <c r="H155" i="6"/>
  <c r="H156" i="6"/>
  <c r="H57" i="6"/>
  <c r="H43" i="6"/>
  <c r="H31" i="6"/>
  <c r="H162" i="6"/>
  <c r="P64" i="6"/>
  <c r="H36" i="6"/>
  <c r="H157" i="6"/>
  <c r="H41" i="6"/>
  <c r="H163" i="6"/>
  <c r="H76" i="6"/>
  <c r="H55" i="6"/>
  <c r="H85" i="6"/>
  <c r="H49" i="6"/>
  <c r="H80" i="6"/>
  <c r="H10" i="6"/>
  <c r="H64" i="6"/>
  <c r="H11" i="6"/>
  <c r="H68" i="6"/>
  <c r="H62" i="6"/>
  <c r="H154" i="6"/>
  <c r="H60" i="6"/>
  <c r="H168" i="6"/>
  <c r="H66" i="6"/>
  <c r="H22" i="6"/>
  <c r="H61" i="6"/>
  <c r="H161" i="6"/>
  <c r="H90" i="6"/>
  <c r="H54" i="6"/>
  <c r="P89" i="6"/>
  <c r="G120" i="6"/>
  <c r="H152" i="6"/>
  <c r="H151" i="6"/>
  <c r="H160" i="6"/>
  <c r="H75" i="6"/>
  <c r="H159" i="6"/>
  <c r="H15" i="6"/>
  <c r="H149" i="6"/>
  <c r="H63" i="6"/>
  <c r="E178" i="6"/>
  <c r="I180" i="6"/>
  <c r="H174" i="6"/>
  <c r="H175" i="6"/>
  <c r="H177" i="6"/>
  <c r="H172" i="6"/>
  <c r="H4" i="6"/>
  <c r="H147" i="6"/>
  <c r="H178" i="6"/>
  <c r="H65" i="6"/>
  <c r="H150" i="6"/>
  <c r="G109" i="6"/>
  <c r="H108" i="6" s="1"/>
  <c r="E175" i="6"/>
  <c r="E174" i="6"/>
  <c r="E172" i="6"/>
  <c r="E177" i="6"/>
  <c r="H148" i="6"/>
  <c r="P60" i="6"/>
  <c r="H164" i="6"/>
  <c r="H40" i="6"/>
  <c r="H153" i="6"/>
  <c r="H86" i="6"/>
  <c r="H106" i="6" l="1"/>
  <c r="G115" i="6"/>
  <c r="H170" i="6"/>
  <c r="R89" i="6"/>
  <c r="H180" i="6"/>
  <c r="H107" i="6"/>
  <c r="M106" i="6"/>
  <c r="G119" i="6"/>
  <c r="G114" i="6"/>
  <c r="E180" i="6"/>
  <c r="P93" i="6"/>
  <c r="H109" i="6" l="1"/>
  <c r="M109" i="6"/>
  <c r="G117" i="6"/>
  <c r="H114" i="6" s="1"/>
  <c r="N108" i="6" l="1"/>
  <c r="N107" i="6"/>
  <c r="H133" i="6"/>
  <c r="H131" i="6"/>
  <c r="H124" i="6"/>
  <c r="H139" i="6"/>
  <c r="H128" i="6"/>
  <c r="H134" i="6"/>
  <c r="H130" i="6"/>
  <c r="H123" i="6"/>
  <c r="H129" i="6"/>
  <c r="H126" i="6"/>
  <c r="H125" i="6"/>
  <c r="H141" i="6"/>
  <c r="H136" i="6"/>
  <c r="H143" i="6"/>
  <c r="H142" i="6"/>
  <c r="H137" i="6"/>
  <c r="H121" i="6"/>
  <c r="H127" i="6"/>
  <c r="H135" i="6"/>
  <c r="H132" i="6"/>
  <c r="H116" i="6"/>
  <c r="H138" i="6"/>
  <c r="H140" i="6"/>
  <c r="H122" i="6"/>
  <c r="H115" i="6"/>
  <c r="H120" i="6"/>
  <c r="N106" i="6"/>
  <c r="H119" i="6"/>
  <c r="H117" i="6" l="1"/>
  <c r="N109" i="6"/>
  <c r="N192" i="2" l="1"/>
  <c r="N193" i="2"/>
  <c r="G19" i="5" l="1"/>
  <c r="M19" i="5"/>
  <c r="I19" i="5"/>
  <c r="M18" i="5"/>
  <c r="M17" i="5"/>
  <c r="I17" i="5"/>
  <c r="G17" i="5"/>
  <c r="N19" i="5" l="1"/>
  <c r="N17" i="5"/>
  <c r="S98" i="5" l="1"/>
  <c r="S97" i="5"/>
  <c r="N97" i="5"/>
  <c r="K97" i="5"/>
  <c r="H97" i="5"/>
  <c r="E97" i="5"/>
  <c r="N96" i="5"/>
  <c r="K96" i="5"/>
  <c r="H96" i="5"/>
  <c r="E96" i="5"/>
  <c r="N95" i="5"/>
  <c r="K95" i="5"/>
  <c r="H95" i="5"/>
  <c r="E95" i="5"/>
  <c r="N94" i="5"/>
  <c r="K94" i="5"/>
  <c r="H94" i="5"/>
  <c r="N93" i="5"/>
  <c r="K93" i="5"/>
  <c r="H93" i="5"/>
  <c r="E93" i="5"/>
  <c r="B93" i="5"/>
  <c r="I91" i="5"/>
  <c r="G91" i="5"/>
  <c r="I90" i="5"/>
  <c r="G90" i="5"/>
  <c r="I89" i="5"/>
  <c r="G89" i="5"/>
  <c r="M87" i="5"/>
  <c r="I87" i="5"/>
  <c r="G87" i="5"/>
  <c r="M86" i="5"/>
  <c r="I86" i="5"/>
  <c r="G86" i="5"/>
  <c r="G160" i="5" s="1"/>
  <c r="M84" i="5"/>
  <c r="I84" i="5"/>
  <c r="G84" i="5"/>
  <c r="G162" i="5" s="1"/>
  <c r="M83" i="5"/>
  <c r="I83" i="5"/>
  <c r="G83" i="5"/>
  <c r="G163" i="5" s="1"/>
  <c r="M82" i="5"/>
  <c r="I82" i="5"/>
  <c r="G82" i="5"/>
  <c r="G157" i="5" s="1"/>
  <c r="M80" i="5"/>
  <c r="I80" i="5"/>
  <c r="G80" i="5"/>
  <c r="M79" i="5"/>
  <c r="I79" i="5"/>
  <c r="G79" i="5"/>
  <c r="M78" i="5"/>
  <c r="I78" i="5"/>
  <c r="G78" i="5"/>
  <c r="M77" i="5"/>
  <c r="I77" i="5"/>
  <c r="G77" i="5"/>
  <c r="M74" i="5"/>
  <c r="I74" i="5"/>
  <c r="G74" i="5"/>
  <c r="G161" i="5" s="1"/>
  <c r="M73" i="5"/>
  <c r="I73" i="5"/>
  <c r="G73" i="5"/>
  <c r="M72" i="5"/>
  <c r="I72" i="5"/>
  <c r="G72" i="5"/>
  <c r="M71" i="5"/>
  <c r="I71" i="5"/>
  <c r="G71" i="5"/>
  <c r="M70" i="5"/>
  <c r="I70" i="5"/>
  <c r="G70" i="5"/>
  <c r="M69" i="5"/>
  <c r="I69" i="5"/>
  <c r="G69" i="5"/>
  <c r="M68" i="5"/>
  <c r="I68" i="5"/>
  <c r="G68" i="5"/>
  <c r="M67" i="5"/>
  <c r="I67" i="5"/>
  <c r="G67" i="5"/>
  <c r="M65" i="5"/>
  <c r="I65" i="5"/>
  <c r="G65" i="5"/>
  <c r="G64" i="5" s="1"/>
  <c r="M63" i="5"/>
  <c r="I63" i="5"/>
  <c r="G63" i="5"/>
  <c r="M62" i="5"/>
  <c r="I62" i="5"/>
  <c r="G62" i="5"/>
  <c r="M58" i="5"/>
  <c r="I58" i="5"/>
  <c r="G58" i="5"/>
  <c r="G164" i="5" s="1"/>
  <c r="M57" i="5"/>
  <c r="I57" i="5"/>
  <c r="G57" i="5"/>
  <c r="M56" i="5"/>
  <c r="I56" i="5"/>
  <c r="G56" i="5"/>
  <c r="M50" i="5"/>
  <c r="I50" i="5"/>
  <c r="G50" i="5"/>
  <c r="M38" i="5"/>
  <c r="I38" i="5"/>
  <c r="G38" i="5"/>
  <c r="M36" i="5"/>
  <c r="I36" i="5"/>
  <c r="G36" i="5"/>
  <c r="H19" i="5" s="1"/>
  <c r="M37" i="5"/>
  <c r="I37" i="5"/>
  <c r="G37" i="5"/>
  <c r="M49" i="5"/>
  <c r="I49" i="5"/>
  <c r="G49" i="5"/>
  <c r="M48" i="5"/>
  <c r="I48" i="5"/>
  <c r="G48" i="5"/>
  <c r="M47" i="5"/>
  <c r="I47" i="5"/>
  <c r="G47" i="5"/>
  <c r="M46" i="5"/>
  <c r="I46" i="5"/>
  <c r="G46" i="5"/>
  <c r="M45" i="5"/>
  <c r="I45" i="5"/>
  <c r="G45" i="5"/>
  <c r="M35" i="5"/>
  <c r="I35" i="5"/>
  <c r="G35" i="5"/>
  <c r="M34" i="5"/>
  <c r="I34" i="5"/>
  <c r="G34" i="5"/>
  <c r="M44" i="5"/>
  <c r="I44" i="5"/>
  <c r="G44" i="5"/>
  <c r="M43" i="5"/>
  <c r="I43" i="5"/>
  <c r="G43" i="5"/>
  <c r="M42" i="5"/>
  <c r="I42" i="5"/>
  <c r="G42" i="5"/>
  <c r="M41" i="5"/>
  <c r="I41" i="5"/>
  <c r="M28" i="5"/>
  <c r="I28" i="5"/>
  <c r="G28" i="5"/>
  <c r="G158" i="5" s="1"/>
  <c r="M27" i="5"/>
  <c r="I27" i="5"/>
  <c r="G27" i="5"/>
  <c r="M26" i="5"/>
  <c r="I26" i="5"/>
  <c r="G26" i="5"/>
  <c r="M25" i="5"/>
  <c r="I25" i="5"/>
  <c r="G25" i="5"/>
  <c r="M24" i="5"/>
  <c r="I24" i="5"/>
  <c r="G24" i="5"/>
  <c r="M23" i="5"/>
  <c r="I23" i="5"/>
  <c r="G23" i="5"/>
  <c r="M22" i="5"/>
  <c r="I22" i="5"/>
  <c r="G22" i="5"/>
  <c r="M33" i="5"/>
  <c r="I33" i="5"/>
  <c r="G33" i="5"/>
  <c r="M32" i="5"/>
  <c r="I32" i="5"/>
  <c r="G32" i="5"/>
  <c r="M21" i="5"/>
  <c r="I21" i="5"/>
  <c r="G21" i="5"/>
  <c r="M20" i="5"/>
  <c r="I20" i="5"/>
  <c r="G20" i="5"/>
  <c r="I18" i="5"/>
  <c r="G18" i="5"/>
  <c r="N18" i="5" s="1"/>
  <c r="M16" i="5"/>
  <c r="I16" i="5"/>
  <c r="G16" i="5"/>
  <c r="I14" i="5"/>
  <c r="G14" i="5"/>
  <c r="I13" i="5"/>
  <c r="G13" i="5"/>
  <c r="I12" i="5"/>
  <c r="G12" i="5"/>
  <c r="I11" i="5"/>
  <c r="G11" i="5"/>
  <c r="I10" i="5"/>
  <c r="G10" i="5"/>
  <c r="I9" i="5"/>
  <c r="G9" i="5"/>
  <c r="I8" i="5"/>
  <c r="G8" i="5"/>
  <c r="L7" i="5"/>
  <c r="I7" i="5"/>
  <c r="G7" i="5"/>
  <c r="I6" i="5"/>
  <c r="G6" i="5"/>
  <c r="I5" i="5"/>
  <c r="G5" i="5"/>
  <c r="G138" i="5"/>
  <c r="G133" i="5"/>
  <c r="G132" i="5"/>
  <c r="G130" i="5"/>
  <c r="G129" i="5"/>
  <c r="G128" i="5"/>
  <c r="G127" i="5"/>
  <c r="G125" i="5"/>
  <c r="G123" i="5"/>
  <c r="G122" i="5"/>
  <c r="N25" i="5" l="1"/>
  <c r="N74" i="5"/>
  <c r="N86" i="5"/>
  <c r="N21" i="5"/>
  <c r="N27" i="5"/>
  <c r="N50" i="5"/>
  <c r="N68" i="5"/>
  <c r="G31" i="5"/>
  <c r="G124" i="5" s="1"/>
  <c r="N78" i="5"/>
  <c r="N22" i="5"/>
  <c r="G155" i="5"/>
  <c r="G172" i="5"/>
  <c r="G175" i="5"/>
  <c r="N32" i="5"/>
  <c r="N28" i="5"/>
  <c r="N46" i="5"/>
  <c r="N69" i="5"/>
  <c r="N79" i="5"/>
  <c r="G176" i="5"/>
  <c r="N57" i="5"/>
  <c r="N16" i="5"/>
  <c r="G173" i="5"/>
  <c r="G151" i="5"/>
  <c r="N82" i="5"/>
  <c r="N48" i="5"/>
  <c r="N58" i="5"/>
  <c r="N71" i="5"/>
  <c r="H17" i="5"/>
  <c r="N33" i="5"/>
  <c r="N47" i="5"/>
  <c r="N80" i="5"/>
  <c r="N37" i="5"/>
  <c r="N43" i="5"/>
  <c r="G149" i="5"/>
  <c r="G61" i="5"/>
  <c r="G152" i="5"/>
  <c r="G154" i="5"/>
  <c r="N38" i="5"/>
  <c r="N87" i="5"/>
  <c r="N84" i="5"/>
  <c r="N24" i="5"/>
  <c r="N35" i="5"/>
  <c r="G147" i="5"/>
  <c r="S99" i="5"/>
  <c r="G99" i="5" s="1"/>
  <c r="G171" i="5"/>
  <c r="N44" i="5"/>
  <c r="N63" i="5"/>
  <c r="G55" i="5"/>
  <c r="G131" i="5" s="1"/>
  <c r="G88" i="5"/>
  <c r="G107" i="5" s="1"/>
  <c r="G153" i="5"/>
  <c r="G66" i="5"/>
  <c r="G137" i="5" s="1"/>
  <c r="H91" i="5"/>
  <c r="G174" i="5"/>
  <c r="G15" i="5"/>
  <c r="G121" i="5" s="1"/>
  <c r="N49" i="5"/>
  <c r="N72" i="5"/>
  <c r="G76" i="5"/>
  <c r="G139" i="5" s="1"/>
  <c r="G85" i="5"/>
  <c r="G141" i="5" s="1"/>
  <c r="G40" i="5"/>
  <c r="G126" i="5" s="1"/>
  <c r="N62" i="5"/>
  <c r="N77" i="5"/>
  <c r="G165" i="5"/>
  <c r="G136" i="5"/>
  <c r="G146" i="5"/>
  <c r="G150" i="5"/>
  <c r="G177" i="5"/>
  <c r="G81" i="5"/>
  <c r="G4" i="5"/>
  <c r="N34" i="5"/>
  <c r="N36" i="5"/>
  <c r="N73" i="5"/>
  <c r="G159" i="5"/>
  <c r="N20" i="5"/>
  <c r="N26" i="5"/>
  <c r="N42" i="5"/>
  <c r="N56" i="5"/>
  <c r="N65" i="5"/>
  <c r="N67" i="5"/>
  <c r="N70" i="5"/>
  <c r="N83" i="5"/>
  <c r="N23" i="5"/>
  <c r="N45" i="5"/>
  <c r="G148" i="5"/>
  <c r="G156" i="5"/>
  <c r="N41" i="5"/>
  <c r="G105" i="5" l="1"/>
  <c r="G135" i="5"/>
  <c r="G106" i="5"/>
  <c r="E177" i="5" s="1"/>
  <c r="G179" i="5"/>
  <c r="H175" i="5" s="1"/>
  <c r="G167" i="5"/>
  <c r="G169" i="5" s="1"/>
  <c r="G142" i="5"/>
  <c r="G115" i="5" s="1"/>
  <c r="G140" i="5"/>
  <c r="G92" i="5"/>
  <c r="G120" i="5"/>
  <c r="H148" i="5" l="1"/>
  <c r="P32" i="5"/>
  <c r="M107" i="5"/>
  <c r="H176" i="5"/>
  <c r="H172" i="5"/>
  <c r="I179" i="5"/>
  <c r="H177" i="5"/>
  <c r="H171" i="5"/>
  <c r="H173" i="5"/>
  <c r="H174" i="5"/>
  <c r="H167" i="5"/>
  <c r="H159" i="5"/>
  <c r="H81" i="5"/>
  <c r="H4" i="5"/>
  <c r="P61" i="5"/>
  <c r="P89" i="5"/>
  <c r="P5" i="5"/>
  <c r="H87" i="5"/>
  <c r="H82" i="5"/>
  <c r="P77" i="5"/>
  <c r="H92" i="5"/>
  <c r="H86" i="5"/>
  <c r="H74" i="5"/>
  <c r="P67" i="5"/>
  <c r="P56" i="5"/>
  <c r="H35" i="5"/>
  <c r="H22" i="5"/>
  <c r="H10" i="5"/>
  <c r="H85" i="5"/>
  <c r="H72" i="5"/>
  <c r="H37" i="5"/>
  <c r="H41" i="5"/>
  <c r="H32" i="5"/>
  <c r="H12" i="5"/>
  <c r="H7" i="5"/>
  <c r="H79" i="5"/>
  <c r="H46" i="5"/>
  <c r="H44" i="5"/>
  <c r="H28" i="5"/>
  <c r="H68" i="5"/>
  <c r="H57" i="5"/>
  <c r="P41" i="5"/>
  <c r="P16" i="5"/>
  <c r="H166" i="5"/>
  <c r="P86" i="5"/>
  <c r="P62" i="5"/>
  <c r="P82" i="5"/>
  <c r="H31" i="5"/>
  <c r="H24" i="5"/>
  <c r="H8" i="5"/>
  <c r="H13" i="5"/>
  <c r="H77" i="5"/>
  <c r="H34" i="5"/>
  <c r="H84" i="5"/>
  <c r="H11" i="5"/>
  <c r="H151" i="5"/>
  <c r="H20" i="5"/>
  <c r="P65" i="5"/>
  <c r="H154" i="5"/>
  <c r="H158" i="5"/>
  <c r="H48" i="5"/>
  <c r="H33" i="5"/>
  <c r="H15" i="5"/>
  <c r="H147" i="5"/>
  <c r="H164" i="5"/>
  <c r="H78" i="5"/>
  <c r="H149" i="5"/>
  <c r="H69" i="5"/>
  <c r="H6" i="5"/>
  <c r="H40" i="5"/>
  <c r="H160" i="5"/>
  <c r="H73" i="5"/>
  <c r="H76" i="5"/>
  <c r="H64" i="5"/>
  <c r="H49" i="5"/>
  <c r="H27" i="5"/>
  <c r="H42" i="5"/>
  <c r="H18" i="5"/>
  <c r="H153" i="5"/>
  <c r="H162" i="5"/>
  <c r="H83" i="5"/>
  <c r="H25" i="5"/>
  <c r="H56" i="5"/>
  <c r="H36" i="5"/>
  <c r="H62" i="5"/>
  <c r="H65" i="5"/>
  <c r="H55" i="5"/>
  <c r="H38" i="5"/>
  <c r="H5" i="5"/>
  <c r="H58" i="5"/>
  <c r="H89" i="5"/>
  <c r="H163" i="5"/>
  <c r="H16" i="5"/>
  <c r="H71" i="5"/>
  <c r="H80" i="5"/>
  <c r="H152" i="5"/>
  <c r="H67" i="5"/>
  <c r="H23" i="5"/>
  <c r="H88" i="5"/>
  <c r="H26" i="5"/>
  <c r="H45" i="5"/>
  <c r="H155" i="5"/>
  <c r="H165" i="5"/>
  <c r="H63" i="5"/>
  <c r="H43" i="5"/>
  <c r="H70" i="5"/>
  <c r="H66" i="5"/>
  <c r="H14" i="5"/>
  <c r="H157" i="5"/>
  <c r="H161" i="5"/>
  <c r="H9" i="5"/>
  <c r="H47" i="5"/>
  <c r="P88" i="5"/>
  <c r="H50" i="5"/>
  <c r="H61" i="5"/>
  <c r="H21" i="5"/>
  <c r="E174" i="5"/>
  <c r="G108" i="5"/>
  <c r="E176" i="5"/>
  <c r="E171" i="5"/>
  <c r="E173" i="5"/>
  <c r="H146" i="5"/>
  <c r="E172" i="5"/>
  <c r="E175" i="5"/>
  <c r="G119" i="5"/>
  <c r="H156" i="5"/>
  <c r="H150" i="5"/>
  <c r="G134" i="5"/>
  <c r="H179" i="5" l="1"/>
  <c r="R88" i="5"/>
  <c r="H169" i="5"/>
  <c r="G113" i="5"/>
  <c r="M105" i="5"/>
  <c r="G118" i="5"/>
  <c r="E179" i="5"/>
  <c r="M106" i="5"/>
  <c r="G114" i="5"/>
  <c r="P92" i="5"/>
  <c r="H107" i="5"/>
  <c r="H106" i="5"/>
  <c r="H105" i="5"/>
  <c r="H108" i="5" l="1"/>
  <c r="M108" i="5"/>
  <c r="N107" i="5" s="1"/>
  <c r="G116" i="5"/>
  <c r="H113" i="5" s="1"/>
  <c r="N106" i="5" l="1"/>
  <c r="N105" i="5"/>
  <c r="H141" i="5"/>
  <c r="H123" i="5"/>
  <c r="H125" i="5"/>
  <c r="H128" i="5"/>
  <c r="H133" i="5"/>
  <c r="H129" i="5"/>
  <c r="H122" i="5"/>
  <c r="H124" i="5"/>
  <c r="H127" i="5"/>
  <c r="H130" i="5"/>
  <c r="H138" i="5"/>
  <c r="H132" i="5"/>
  <c r="H139" i="5"/>
  <c r="H121" i="5"/>
  <c r="H136" i="5"/>
  <c r="H142" i="5"/>
  <c r="H135" i="5"/>
  <c r="H137" i="5"/>
  <c r="H126" i="5"/>
  <c r="H131" i="5"/>
  <c r="H115" i="5"/>
  <c r="H140" i="5"/>
  <c r="H120" i="5"/>
  <c r="H119" i="5"/>
  <c r="H134" i="5"/>
  <c r="H118" i="5"/>
  <c r="H114" i="5"/>
  <c r="N108" i="5" l="1"/>
  <c r="H116" i="5"/>
  <c r="M72" i="4"/>
  <c r="M35" i="4"/>
  <c r="I54" i="4" l="1"/>
  <c r="G54" i="4"/>
  <c r="E93" i="4" l="1"/>
  <c r="N95" i="4"/>
  <c r="K95" i="4"/>
  <c r="H95" i="4"/>
  <c r="E95" i="4"/>
  <c r="N94" i="4"/>
  <c r="K94" i="4"/>
  <c r="H94" i="4"/>
  <c r="E94" i="4"/>
  <c r="N93" i="4"/>
  <c r="K93" i="4"/>
  <c r="H93" i="4"/>
  <c r="N92" i="4"/>
  <c r="K92" i="4"/>
  <c r="H92" i="4"/>
  <c r="N91" i="4"/>
  <c r="K91" i="4"/>
  <c r="H91" i="4"/>
  <c r="E91" i="4"/>
  <c r="B91" i="4"/>
  <c r="I89" i="4"/>
  <c r="G89" i="4"/>
  <c r="I88" i="4"/>
  <c r="G88" i="4"/>
  <c r="I87" i="4"/>
  <c r="G87" i="4"/>
  <c r="M85" i="4"/>
  <c r="I85" i="4"/>
  <c r="G85" i="4"/>
  <c r="M84" i="4"/>
  <c r="I84" i="4"/>
  <c r="G84" i="4"/>
  <c r="M82" i="4"/>
  <c r="I82" i="4"/>
  <c r="G82" i="4"/>
  <c r="M81" i="4"/>
  <c r="I81" i="4"/>
  <c r="G81" i="4"/>
  <c r="M80" i="4"/>
  <c r="I80" i="4"/>
  <c r="G80" i="4"/>
  <c r="G155" i="4" s="1"/>
  <c r="M78" i="4"/>
  <c r="I78" i="4"/>
  <c r="G78" i="4"/>
  <c r="M77" i="4"/>
  <c r="I77" i="4"/>
  <c r="G77" i="4"/>
  <c r="M76" i="4"/>
  <c r="I76" i="4"/>
  <c r="G76" i="4"/>
  <c r="M75" i="4"/>
  <c r="I75" i="4"/>
  <c r="G75" i="4"/>
  <c r="I72" i="4"/>
  <c r="G72" i="4"/>
  <c r="G159" i="4" s="1"/>
  <c r="M71" i="4"/>
  <c r="I71" i="4"/>
  <c r="G71" i="4"/>
  <c r="M70" i="4"/>
  <c r="I70" i="4"/>
  <c r="G70" i="4"/>
  <c r="M69" i="4"/>
  <c r="I69" i="4"/>
  <c r="G69" i="4"/>
  <c r="M68" i="4"/>
  <c r="I68" i="4"/>
  <c r="G68" i="4"/>
  <c r="M67" i="4"/>
  <c r="I67" i="4"/>
  <c r="G67" i="4"/>
  <c r="M66" i="4"/>
  <c r="I66" i="4"/>
  <c r="G66" i="4"/>
  <c r="M65" i="4"/>
  <c r="I65" i="4"/>
  <c r="G65" i="4"/>
  <c r="M63" i="4"/>
  <c r="I63" i="4"/>
  <c r="G63" i="4"/>
  <c r="G62" i="4" s="1"/>
  <c r="M61" i="4"/>
  <c r="I61" i="4"/>
  <c r="G61" i="4"/>
  <c r="M60" i="4"/>
  <c r="I60" i="4"/>
  <c r="G60" i="4"/>
  <c r="M56" i="4"/>
  <c r="I56" i="4"/>
  <c r="G56" i="4"/>
  <c r="G162" i="4" s="1"/>
  <c r="M55" i="4"/>
  <c r="I55" i="4"/>
  <c r="G55" i="4"/>
  <c r="M54" i="4"/>
  <c r="N54" i="4" s="1"/>
  <c r="M48" i="4"/>
  <c r="I48" i="4"/>
  <c r="G48" i="4"/>
  <c r="M47" i="4"/>
  <c r="I47" i="4"/>
  <c r="G47" i="4"/>
  <c r="M46" i="4"/>
  <c r="I46" i="4"/>
  <c r="G46" i="4"/>
  <c r="M45" i="4"/>
  <c r="I45" i="4"/>
  <c r="G45" i="4"/>
  <c r="M44" i="4"/>
  <c r="I44" i="4"/>
  <c r="G44" i="4"/>
  <c r="M43" i="4"/>
  <c r="I43" i="4"/>
  <c r="G43" i="4"/>
  <c r="M42" i="4"/>
  <c r="I42" i="4"/>
  <c r="G42" i="4"/>
  <c r="M41" i="4"/>
  <c r="I41" i="4"/>
  <c r="G41" i="4"/>
  <c r="M40" i="4"/>
  <c r="I40" i="4"/>
  <c r="G40" i="4"/>
  <c r="M39" i="4"/>
  <c r="I39" i="4"/>
  <c r="G39" i="4"/>
  <c r="M38" i="4"/>
  <c r="I38" i="4"/>
  <c r="G38" i="4"/>
  <c r="M37" i="4"/>
  <c r="I37" i="4"/>
  <c r="G37" i="4"/>
  <c r="M36" i="4"/>
  <c r="I36" i="4"/>
  <c r="G36" i="4"/>
  <c r="I35" i="4"/>
  <c r="G35" i="4"/>
  <c r="M34" i="4"/>
  <c r="I34" i="4"/>
  <c r="G34" i="4"/>
  <c r="M28" i="4"/>
  <c r="I28" i="4"/>
  <c r="G28" i="4"/>
  <c r="G156" i="4" s="1"/>
  <c r="M27" i="4"/>
  <c r="I27" i="4"/>
  <c r="G27" i="4"/>
  <c r="M26" i="4"/>
  <c r="I26" i="4"/>
  <c r="G26" i="4"/>
  <c r="M25" i="4"/>
  <c r="I25" i="4"/>
  <c r="G25" i="4"/>
  <c r="M24" i="4"/>
  <c r="I24" i="4"/>
  <c r="G24" i="4"/>
  <c r="M23" i="4"/>
  <c r="I23" i="4"/>
  <c r="G23" i="4"/>
  <c r="M22" i="4"/>
  <c r="I22" i="4"/>
  <c r="G22" i="4"/>
  <c r="M21" i="4"/>
  <c r="I21" i="4"/>
  <c r="G21" i="4"/>
  <c r="M20" i="4"/>
  <c r="I20" i="4"/>
  <c r="G20" i="4"/>
  <c r="M19" i="4"/>
  <c r="I19" i="4"/>
  <c r="G19" i="4"/>
  <c r="M18" i="4"/>
  <c r="I18" i="4"/>
  <c r="G18" i="4"/>
  <c r="M17" i="4"/>
  <c r="I17" i="4"/>
  <c r="G17" i="4"/>
  <c r="M16" i="4"/>
  <c r="I16" i="4"/>
  <c r="G16" i="4"/>
  <c r="I14" i="4"/>
  <c r="G14" i="4"/>
  <c r="I13" i="4"/>
  <c r="G13" i="4"/>
  <c r="I12" i="4"/>
  <c r="G12" i="4"/>
  <c r="I11" i="4"/>
  <c r="G11" i="4"/>
  <c r="I10" i="4"/>
  <c r="G10" i="4"/>
  <c r="I9" i="4"/>
  <c r="G9" i="4"/>
  <c r="I8" i="4"/>
  <c r="G8" i="4"/>
  <c r="L7" i="4"/>
  <c r="I7" i="4"/>
  <c r="G7" i="4"/>
  <c r="I6" i="4"/>
  <c r="G6" i="4"/>
  <c r="I5" i="4"/>
  <c r="G5" i="4"/>
  <c r="G157" i="4"/>
  <c r="G136" i="4"/>
  <c r="G131" i="4"/>
  <c r="G130" i="4"/>
  <c r="G128" i="4"/>
  <c r="G127" i="4"/>
  <c r="G126" i="4"/>
  <c r="G125" i="4"/>
  <c r="G123" i="4"/>
  <c r="G122" i="4"/>
  <c r="G121" i="4"/>
  <c r="G120" i="4"/>
  <c r="G163" i="4" l="1"/>
  <c r="G53" i="4"/>
  <c r="N21" i="4"/>
  <c r="N85" i="4"/>
  <c r="N28" i="4"/>
  <c r="N72" i="4"/>
  <c r="N84" i="4"/>
  <c r="H89" i="4"/>
  <c r="N35" i="4"/>
  <c r="N43" i="4"/>
  <c r="N66" i="4"/>
  <c r="G172" i="4"/>
  <c r="N41" i="4"/>
  <c r="N20" i="4"/>
  <c r="N16" i="4"/>
  <c r="N19" i="4"/>
  <c r="N27" i="4"/>
  <c r="N40" i="4"/>
  <c r="N48" i="4"/>
  <c r="N61" i="4"/>
  <c r="N71" i="4"/>
  <c r="G152" i="4"/>
  <c r="N68" i="4"/>
  <c r="N78" i="4"/>
  <c r="N26" i="4"/>
  <c r="G174" i="4"/>
  <c r="N67" i="4"/>
  <c r="N75" i="4"/>
  <c r="N82" i="4"/>
  <c r="G64" i="4"/>
  <c r="G135" i="4" s="1"/>
  <c r="G151" i="4"/>
  <c r="G86" i="4"/>
  <c r="G165" i="4" s="1"/>
  <c r="N56" i="4"/>
  <c r="N18" i="4"/>
  <c r="N39" i="4"/>
  <c r="G148" i="4"/>
  <c r="N70" i="4"/>
  <c r="N81" i="4"/>
  <c r="N34" i="4"/>
  <c r="N24" i="4"/>
  <c r="N37" i="4"/>
  <c r="N45" i="4"/>
  <c r="G79" i="4"/>
  <c r="G138" i="4" s="1"/>
  <c r="G15" i="4"/>
  <c r="G119" i="4" s="1"/>
  <c r="N23" i="4"/>
  <c r="N36" i="4"/>
  <c r="N38" i="4"/>
  <c r="G147" i="4"/>
  <c r="N46" i="4"/>
  <c r="N60" i="4"/>
  <c r="N69" i="4"/>
  <c r="N77" i="4"/>
  <c r="N44" i="4"/>
  <c r="G160" i="4"/>
  <c r="N47" i="4"/>
  <c r="G134" i="4"/>
  <c r="G4" i="4"/>
  <c r="G169" i="4"/>
  <c r="G144" i="4"/>
  <c r="N17" i="4"/>
  <c r="G74" i="4"/>
  <c r="G83" i="4"/>
  <c r="G145" i="4"/>
  <c r="G149" i="4"/>
  <c r="G153" i="4"/>
  <c r="G161" i="4"/>
  <c r="G175" i="4"/>
  <c r="G59" i="4"/>
  <c r="G170" i="4"/>
  <c r="N25" i="4"/>
  <c r="N65" i="4"/>
  <c r="G146" i="4"/>
  <c r="G150" i="4"/>
  <c r="G154" i="4"/>
  <c r="G158" i="4"/>
  <c r="G173" i="4"/>
  <c r="N22" i="4"/>
  <c r="G33" i="4"/>
  <c r="N55" i="4"/>
  <c r="N76" i="4"/>
  <c r="N42" i="4"/>
  <c r="N63" i="4"/>
  <c r="N80" i="4"/>
  <c r="G171" i="4"/>
  <c r="G103" i="4" l="1"/>
  <c r="E169" i="4" s="1"/>
  <c r="G105" i="4"/>
  <c r="G140" i="4"/>
  <c r="M105" i="4" s="1"/>
  <c r="G90" i="4"/>
  <c r="H146" i="4" s="1"/>
  <c r="G118" i="4"/>
  <c r="G139" i="4"/>
  <c r="G133" i="4"/>
  <c r="G104" i="4"/>
  <c r="G129" i="4"/>
  <c r="G137" i="4"/>
  <c r="G124" i="4"/>
  <c r="G167" i="4"/>
  <c r="G177" i="4"/>
  <c r="H169" i="4" s="1"/>
  <c r="G113" i="4" l="1"/>
  <c r="H53" i="4"/>
  <c r="H154" i="4"/>
  <c r="H149" i="4"/>
  <c r="H33" i="4"/>
  <c r="H161" i="4"/>
  <c r="H158" i="4"/>
  <c r="P80" i="4"/>
  <c r="P16" i="4"/>
  <c r="H82" i="4"/>
  <c r="H69" i="4"/>
  <c r="H35" i="4"/>
  <c r="H26" i="4"/>
  <c r="H67" i="4"/>
  <c r="P34" i="4"/>
  <c r="P75" i="4"/>
  <c r="P87" i="4"/>
  <c r="H43" i="4"/>
  <c r="H18" i="4"/>
  <c r="H14" i="4"/>
  <c r="H31" i="4"/>
  <c r="H24" i="4"/>
  <c r="P84" i="4"/>
  <c r="H37" i="4"/>
  <c r="H90" i="4"/>
  <c r="P65" i="4"/>
  <c r="H54" i="4"/>
  <c r="H87" i="4"/>
  <c r="H78" i="4"/>
  <c r="H75" i="4"/>
  <c r="H41" i="4"/>
  <c r="H8" i="4"/>
  <c r="P54" i="4"/>
  <c r="H34" i="4"/>
  <c r="P60" i="4"/>
  <c r="P5" i="4"/>
  <c r="H164" i="4"/>
  <c r="H71" i="4"/>
  <c r="H45" i="4"/>
  <c r="H28" i="4"/>
  <c r="H20" i="4"/>
  <c r="H7" i="4"/>
  <c r="H12" i="4"/>
  <c r="H60" i="4"/>
  <c r="H62" i="4"/>
  <c r="H10" i="4"/>
  <c r="H40" i="4"/>
  <c r="H162" i="4"/>
  <c r="H22" i="4"/>
  <c r="H36" i="4"/>
  <c r="H68" i="4"/>
  <c r="H21" i="4"/>
  <c r="H156" i="4"/>
  <c r="H64" i="4"/>
  <c r="H56" i="4"/>
  <c r="H11" i="4"/>
  <c r="H39" i="4"/>
  <c r="H44" i="4"/>
  <c r="H159" i="4"/>
  <c r="H15" i="4"/>
  <c r="H46" i="4"/>
  <c r="H47" i="4"/>
  <c r="H155" i="4"/>
  <c r="H160" i="4"/>
  <c r="H17" i="4"/>
  <c r="H25" i="4"/>
  <c r="H55" i="4"/>
  <c r="H157" i="4"/>
  <c r="H85" i="4"/>
  <c r="H163" i="4"/>
  <c r="H147" i="4"/>
  <c r="H151" i="4"/>
  <c r="H79" i="4"/>
  <c r="P63" i="4"/>
  <c r="H42" i="4"/>
  <c r="H13" i="4"/>
  <c r="H9" i="4"/>
  <c r="H27" i="4"/>
  <c r="H148" i="4"/>
  <c r="H23" i="4"/>
  <c r="H77" i="4"/>
  <c r="H38" i="4"/>
  <c r="H61" i="4"/>
  <c r="H70" i="4"/>
  <c r="H72" i="4"/>
  <c r="H63" i="4"/>
  <c r="H152" i="4"/>
  <c r="H66" i="4"/>
  <c r="H84" i="4"/>
  <c r="H48" i="4"/>
  <c r="H76" i="4"/>
  <c r="H16" i="4"/>
  <c r="H80" i="4"/>
  <c r="H6" i="4"/>
  <c r="H19" i="4"/>
  <c r="H65" i="4"/>
  <c r="H86" i="4"/>
  <c r="H5" i="4"/>
  <c r="H81" i="4"/>
  <c r="H74" i="4"/>
  <c r="P86" i="4"/>
  <c r="P59" i="4"/>
  <c r="I177" i="4"/>
  <c r="H172" i="4"/>
  <c r="H174" i="4"/>
  <c r="G117" i="4"/>
  <c r="H165" i="4"/>
  <c r="H145" i="4"/>
  <c r="H153" i="4"/>
  <c r="G132" i="4"/>
  <c r="H175" i="4"/>
  <c r="G106" i="4"/>
  <c r="H105" i="4" s="1"/>
  <c r="E172" i="4"/>
  <c r="E174" i="4"/>
  <c r="E171" i="4"/>
  <c r="H59" i="4"/>
  <c r="E175" i="4"/>
  <c r="H4" i="4"/>
  <c r="H144" i="4"/>
  <c r="H171" i="4"/>
  <c r="E173" i="4"/>
  <c r="H83" i="4"/>
  <c r="H150" i="4"/>
  <c r="E170" i="4"/>
  <c r="H173" i="4"/>
  <c r="H170" i="4"/>
  <c r="H177" i="4" l="1"/>
  <c r="R86" i="4"/>
  <c r="E177" i="4"/>
  <c r="P90" i="4"/>
  <c r="H167" i="4"/>
  <c r="H103" i="4"/>
  <c r="H104" i="4"/>
  <c r="M104" i="4"/>
  <c r="G112" i="4"/>
  <c r="G116" i="4"/>
  <c r="G111" i="4"/>
  <c r="M103" i="4"/>
  <c r="M106" i="4" l="1"/>
  <c r="N105" i="4" s="1"/>
  <c r="H106" i="4"/>
  <c r="G114" i="4"/>
  <c r="H126" i="4" l="1"/>
  <c r="H128" i="4"/>
  <c r="H123" i="4"/>
  <c r="H127" i="4"/>
  <c r="H121" i="4"/>
  <c r="H120" i="4"/>
  <c r="H130" i="4"/>
  <c r="H125" i="4"/>
  <c r="H122" i="4"/>
  <c r="H131" i="4"/>
  <c r="H136" i="4"/>
  <c r="H119" i="4"/>
  <c r="H138" i="4"/>
  <c r="H134" i="4"/>
  <c r="H140" i="4"/>
  <c r="H135" i="4"/>
  <c r="H118" i="4"/>
  <c r="H137" i="4"/>
  <c r="H124" i="4"/>
  <c r="H133" i="4"/>
  <c r="H139" i="4"/>
  <c r="H113" i="4"/>
  <c r="H129" i="4"/>
  <c r="H132" i="4"/>
  <c r="H117" i="4"/>
  <c r="H111" i="4"/>
  <c r="N103" i="4"/>
  <c r="N104" i="4"/>
  <c r="H112" i="4"/>
  <c r="H116" i="4"/>
  <c r="N106" i="4" l="1"/>
  <c r="H114" i="4"/>
  <c r="M36" i="3" l="1"/>
  <c r="I36" i="3"/>
  <c r="G36" i="3"/>
  <c r="M37" i="3"/>
  <c r="M34" i="3"/>
  <c r="L7" i="3" l="1"/>
  <c r="I73" i="3" l="1"/>
  <c r="G73" i="3"/>
  <c r="G42" i="3"/>
  <c r="B92" i="3"/>
  <c r="M71" i="3"/>
  <c r="M70" i="3"/>
  <c r="M69" i="3"/>
  <c r="M68" i="3"/>
  <c r="M67" i="3"/>
  <c r="I71" i="3"/>
  <c r="I70" i="3"/>
  <c r="I69" i="3"/>
  <c r="I68" i="3"/>
  <c r="I67" i="3"/>
  <c r="G71" i="3"/>
  <c r="G70" i="3"/>
  <c r="G69" i="3"/>
  <c r="G68" i="3"/>
  <c r="G67" i="3"/>
  <c r="G153" i="3" s="1"/>
  <c r="G67" i="1"/>
  <c r="G66" i="1"/>
  <c r="M69" i="1"/>
  <c r="M68" i="1"/>
  <c r="M67" i="1"/>
  <c r="M66" i="1"/>
  <c r="M65" i="1"/>
  <c r="I67" i="1"/>
  <c r="I66" i="1"/>
  <c r="I65" i="1"/>
  <c r="G65" i="1"/>
  <c r="G151" i="1" s="1"/>
  <c r="N66" i="1" l="1"/>
  <c r="N65" i="1"/>
  <c r="N67" i="3"/>
  <c r="N70" i="3"/>
  <c r="N67" i="1"/>
  <c r="N71" i="3"/>
  <c r="N69" i="3"/>
  <c r="N68" i="3"/>
  <c r="M17" i="3" l="1"/>
  <c r="I17" i="3"/>
  <c r="G17" i="3"/>
  <c r="N17" i="3" l="1"/>
  <c r="M62" i="3" l="1"/>
  <c r="I62" i="3"/>
  <c r="G62" i="3"/>
  <c r="I48" i="3"/>
  <c r="N62" i="3" l="1"/>
  <c r="E96" i="3" l="1"/>
  <c r="E95" i="3"/>
  <c r="E92" i="3"/>
  <c r="N96" i="3"/>
  <c r="K96" i="3"/>
  <c r="H96" i="3"/>
  <c r="N95" i="3"/>
  <c r="K95" i="3"/>
  <c r="H95" i="3"/>
  <c r="N94" i="3"/>
  <c r="K94" i="3"/>
  <c r="H94" i="3"/>
  <c r="N93" i="3"/>
  <c r="K93" i="3"/>
  <c r="H93" i="3"/>
  <c r="N92" i="3"/>
  <c r="K92" i="3"/>
  <c r="H92" i="3"/>
  <c r="I90" i="3"/>
  <c r="G90" i="3"/>
  <c r="I89" i="3"/>
  <c r="G89" i="3"/>
  <c r="I88" i="3"/>
  <c r="G88" i="3"/>
  <c r="M86" i="3"/>
  <c r="I86" i="3"/>
  <c r="G86" i="3"/>
  <c r="M85" i="3"/>
  <c r="I85" i="3"/>
  <c r="G85" i="3"/>
  <c r="M83" i="3"/>
  <c r="I83" i="3"/>
  <c r="G83" i="3"/>
  <c r="G161" i="3" s="1"/>
  <c r="M82" i="3"/>
  <c r="I82" i="3"/>
  <c r="G82" i="3"/>
  <c r="M81" i="3"/>
  <c r="I81" i="3"/>
  <c r="G81" i="3"/>
  <c r="M79" i="3"/>
  <c r="I79" i="3"/>
  <c r="G79" i="3"/>
  <c r="M78" i="3"/>
  <c r="I78" i="3"/>
  <c r="G78" i="3"/>
  <c r="M77" i="3"/>
  <c r="I77" i="3"/>
  <c r="G77" i="3"/>
  <c r="M76" i="3"/>
  <c r="I76" i="3"/>
  <c r="G76" i="3"/>
  <c r="M73" i="3"/>
  <c r="M72" i="3"/>
  <c r="I72" i="3"/>
  <c r="G72" i="3"/>
  <c r="M66" i="3"/>
  <c r="I66" i="3"/>
  <c r="G66" i="3"/>
  <c r="M64" i="3"/>
  <c r="I64" i="3"/>
  <c r="G64" i="3"/>
  <c r="G63" i="3" s="1"/>
  <c r="G135" i="3" s="1"/>
  <c r="M61" i="3"/>
  <c r="I61" i="3"/>
  <c r="G61" i="3"/>
  <c r="G165" i="3" s="1"/>
  <c r="M60" i="3"/>
  <c r="I60" i="3"/>
  <c r="G60" i="3"/>
  <c r="M56" i="3"/>
  <c r="I56" i="3"/>
  <c r="G56" i="3"/>
  <c r="M55" i="3"/>
  <c r="I55" i="3"/>
  <c r="G55" i="3"/>
  <c r="M54" i="3"/>
  <c r="G158" i="3"/>
  <c r="M48" i="3"/>
  <c r="G48" i="3"/>
  <c r="M47" i="3"/>
  <c r="I47" i="3"/>
  <c r="G47" i="3"/>
  <c r="M46" i="3"/>
  <c r="I46" i="3"/>
  <c r="G46" i="3"/>
  <c r="M45" i="3"/>
  <c r="I45" i="3"/>
  <c r="G45" i="3"/>
  <c r="M44" i="3"/>
  <c r="I44" i="3"/>
  <c r="G44" i="3"/>
  <c r="M43" i="3"/>
  <c r="I43" i="3"/>
  <c r="G43" i="3"/>
  <c r="M42" i="3"/>
  <c r="I42" i="3"/>
  <c r="M41" i="3"/>
  <c r="I41" i="3"/>
  <c r="G41" i="3"/>
  <c r="M40" i="3"/>
  <c r="I40" i="3"/>
  <c r="G40" i="3"/>
  <c r="G151" i="3" s="1"/>
  <c r="M39" i="3"/>
  <c r="I39" i="3"/>
  <c r="G39" i="3"/>
  <c r="M38" i="3"/>
  <c r="I38" i="3"/>
  <c r="G38" i="3"/>
  <c r="I37" i="3"/>
  <c r="G37" i="3"/>
  <c r="M35" i="3"/>
  <c r="I35" i="3"/>
  <c r="G35" i="3"/>
  <c r="I34" i="3"/>
  <c r="G34" i="3"/>
  <c r="M28" i="3"/>
  <c r="I28" i="3"/>
  <c r="G28" i="3"/>
  <c r="M27" i="3"/>
  <c r="I27" i="3"/>
  <c r="G27" i="3"/>
  <c r="M26" i="3"/>
  <c r="I26" i="3"/>
  <c r="G26" i="3"/>
  <c r="M25" i="3"/>
  <c r="I25" i="3"/>
  <c r="G25" i="3"/>
  <c r="M24" i="3"/>
  <c r="I24" i="3"/>
  <c r="G24" i="3"/>
  <c r="M23" i="3"/>
  <c r="I23" i="3"/>
  <c r="G23" i="3"/>
  <c r="M22" i="3"/>
  <c r="I22" i="3"/>
  <c r="G22" i="3"/>
  <c r="M21" i="3"/>
  <c r="I21" i="3"/>
  <c r="G21" i="3"/>
  <c r="M20" i="3"/>
  <c r="I20" i="3"/>
  <c r="G20" i="3"/>
  <c r="M19" i="3"/>
  <c r="I19" i="3"/>
  <c r="G19" i="3"/>
  <c r="M18" i="3"/>
  <c r="I18" i="3"/>
  <c r="G18" i="3"/>
  <c r="M16" i="3"/>
  <c r="I16" i="3"/>
  <c r="G16" i="3"/>
  <c r="I14" i="3"/>
  <c r="G14" i="3"/>
  <c r="I13" i="3"/>
  <c r="G13" i="3"/>
  <c r="I12" i="3"/>
  <c r="G12" i="3"/>
  <c r="I11" i="3"/>
  <c r="G11" i="3"/>
  <c r="I10" i="3"/>
  <c r="G10" i="3"/>
  <c r="I9" i="3"/>
  <c r="G9" i="3"/>
  <c r="I8" i="3"/>
  <c r="G8" i="3"/>
  <c r="I7" i="3"/>
  <c r="G7" i="3"/>
  <c r="I6" i="3"/>
  <c r="G6" i="3"/>
  <c r="I5" i="3"/>
  <c r="G5" i="3"/>
  <c r="G137" i="3"/>
  <c r="G132" i="3"/>
  <c r="G131" i="3"/>
  <c r="G129" i="3"/>
  <c r="G128" i="3"/>
  <c r="G127" i="3"/>
  <c r="G126" i="3"/>
  <c r="G124" i="3"/>
  <c r="G123" i="3"/>
  <c r="G122" i="3"/>
  <c r="G121" i="3"/>
  <c r="G147" i="3" l="1"/>
  <c r="G149" i="3"/>
  <c r="G148" i="3"/>
  <c r="G59" i="3"/>
  <c r="G152" i="3"/>
  <c r="G146" i="3"/>
  <c r="G150" i="3"/>
  <c r="G145" i="3"/>
  <c r="N36" i="3"/>
  <c r="N44" i="3"/>
  <c r="N37" i="3"/>
  <c r="N77" i="3"/>
  <c r="G87" i="3"/>
  <c r="G167" i="3" s="1"/>
  <c r="N19" i="3"/>
  <c r="N27" i="3"/>
  <c r="N40" i="3"/>
  <c r="N64" i="3"/>
  <c r="N79" i="3"/>
  <c r="N55" i="3"/>
  <c r="N21" i="3"/>
  <c r="N42" i="3"/>
  <c r="N83" i="3"/>
  <c r="N25" i="3"/>
  <c r="N38" i="3"/>
  <c r="N46" i="3"/>
  <c r="N43" i="3"/>
  <c r="N35" i="3"/>
  <c r="N18" i="3"/>
  <c r="N26" i="3"/>
  <c r="H90" i="3"/>
  <c r="N61" i="3"/>
  <c r="N82" i="3"/>
  <c r="G164" i="3"/>
  <c r="N20" i="3"/>
  <c r="G172" i="3"/>
  <c r="N41" i="3"/>
  <c r="N54" i="3"/>
  <c r="N78" i="3"/>
  <c r="N23" i="3"/>
  <c r="N66" i="3"/>
  <c r="N48" i="3"/>
  <c r="N72" i="3"/>
  <c r="N24" i="3"/>
  <c r="G176" i="3"/>
  <c r="G33" i="3"/>
  <c r="N34" i="3"/>
  <c r="G163" i="3"/>
  <c r="N56" i="3"/>
  <c r="G177" i="3"/>
  <c r="N45" i="3"/>
  <c r="N47" i="3"/>
  <c r="G75" i="3"/>
  <c r="N76" i="3"/>
  <c r="G156" i="3"/>
  <c r="G80" i="3"/>
  <c r="N81" i="3"/>
  <c r="G155" i="3"/>
  <c r="N86" i="3"/>
  <c r="G4" i="3"/>
  <c r="G171" i="3"/>
  <c r="G173" i="3"/>
  <c r="G15" i="3"/>
  <c r="N16" i="3"/>
  <c r="N39" i="3"/>
  <c r="G157" i="3"/>
  <c r="N28" i="3"/>
  <c r="G84" i="3"/>
  <c r="N60" i="3"/>
  <c r="G160" i="3"/>
  <c r="N73" i="3"/>
  <c r="G65" i="3"/>
  <c r="G174" i="3"/>
  <c r="N22" i="3"/>
  <c r="N85" i="3"/>
  <c r="G159" i="3"/>
  <c r="G154" i="3"/>
  <c r="G162" i="3"/>
  <c r="G53" i="3"/>
  <c r="G175" i="3"/>
  <c r="G169" i="3" l="1"/>
  <c r="G91" i="3"/>
  <c r="H73" i="3" s="1"/>
  <c r="G136" i="3"/>
  <c r="G106" i="3"/>
  <c r="G141" i="3"/>
  <c r="S97" i="3"/>
  <c r="G139" i="3"/>
  <c r="G140" i="3"/>
  <c r="G104" i="3"/>
  <c r="E174" i="3" s="1"/>
  <c r="G119" i="3"/>
  <c r="G120" i="3"/>
  <c r="G138" i="3"/>
  <c r="G130" i="3"/>
  <c r="G179" i="3"/>
  <c r="H174" i="3" s="1"/>
  <c r="G134" i="3"/>
  <c r="G105" i="3"/>
  <c r="G125" i="3"/>
  <c r="G114" i="3" l="1"/>
  <c r="M106" i="3"/>
  <c r="H22" i="3"/>
  <c r="H44" i="3"/>
  <c r="H23" i="3"/>
  <c r="H45" i="3"/>
  <c r="H37" i="3"/>
  <c r="H46" i="3"/>
  <c r="H38" i="3"/>
  <c r="H21" i="3"/>
  <c r="H47" i="3"/>
  <c r="H39" i="3"/>
  <c r="H48" i="3"/>
  <c r="H40" i="3"/>
  <c r="H20" i="3"/>
  <c r="H17" i="3"/>
  <c r="H71" i="3"/>
  <c r="H69" i="3"/>
  <c r="H68" i="3"/>
  <c r="H70" i="3"/>
  <c r="H67" i="3"/>
  <c r="H157" i="3"/>
  <c r="P60" i="3"/>
  <c r="H62" i="3"/>
  <c r="H173" i="3"/>
  <c r="H171" i="3"/>
  <c r="G133" i="3"/>
  <c r="M105" i="3" s="1"/>
  <c r="P85" i="3"/>
  <c r="H24" i="3"/>
  <c r="P16" i="3"/>
  <c r="P76" i="3"/>
  <c r="P81" i="3"/>
  <c r="H78" i="3"/>
  <c r="H55" i="3"/>
  <c r="H41" i="3"/>
  <c r="P34" i="3"/>
  <c r="H31" i="3"/>
  <c r="H9" i="3"/>
  <c r="P88" i="3"/>
  <c r="P66" i="3"/>
  <c r="H91" i="3"/>
  <c r="P54" i="3"/>
  <c r="H166" i="3"/>
  <c r="H77" i="3"/>
  <c r="H66" i="3"/>
  <c r="H28" i="3"/>
  <c r="H5" i="3"/>
  <c r="H64" i="3"/>
  <c r="H61" i="3"/>
  <c r="H153" i="3"/>
  <c r="H164" i="3"/>
  <c r="H10" i="3"/>
  <c r="P5" i="3"/>
  <c r="H14" i="3"/>
  <c r="H56" i="3"/>
  <c r="H25" i="3"/>
  <c r="H165" i="3"/>
  <c r="H12" i="3"/>
  <c r="H60" i="3"/>
  <c r="H88" i="3"/>
  <c r="P64" i="3"/>
  <c r="H43" i="3"/>
  <c r="H16" i="3"/>
  <c r="H146" i="3"/>
  <c r="H79" i="3"/>
  <c r="H54" i="3"/>
  <c r="H72" i="3"/>
  <c r="H8" i="3"/>
  <c r="H161" i="3"/>
  <c r="H34" i="3"/>
  <c r="H151" i="3"/>
  <c r="H26" i="3"/>
  <c r="H83" i="3"/>
  <c r="H76" i="3"/>
  <c r="H35" i="3"/>
  <c r="H87" i="3"/>
  <c r="H6" i="3"/>
  <c r="H85" i="3"/>
  <c r="H13" i="3"/>
  <c r="H81" i="3"/>
  <c r="H18" i="3"/>
  <c r="H19" i="3"/>
  <c r="H7" i="3"/>
  <c r="H63" i="3"/>
  <c r="H11" i="3"/>
  <c r="H86" i="3"/>
  <c r="H27" i="3"/>
  <c r="H158" i="3"/>
  <c r="H82" i="3"/>
  <c r="H42" i="3"/>
  <c r="H36" i="3"/>
  <c r="H148" i="3"/>
  <c r="H155" i="3"/>
  <c r="H160" i="3"/>
  <c r="H15" i="3"/>
  <c r="G118" i="3"/>
  <c r="M104" i="3" s="1"/>
  <c r="H156" i="3"/>
  <c r="H80" i="3"/>
  <c r="H159" i="3"/>
  <c r="H162" i="3"/>
  <c r="G107" i="3"/>
  <c r="H106" i="3" s="1"/>
  <c r="E172" i="3"/>
  <c r="H84" i="3"/>
  <c r="H167" i="3"/>
  <c r="I179" i="3"/>
  <c r="H172" i="3"/>
  <c r="H147" i="3"/>
  <c r="H154" i="3"/>
  <c r="E175" i="3"/>
  <c r="H4" i="3"/>
  <c r="H33" i="3"/>
  <c r="E171" i="3"/>
  <c r="H163" i="3"/>
  <c r="H149" i="3"/>
  <c r="H175" i="3"/>
  <c r="H150" i="3"/>
  <c r="H75" i="3"/>
  <c r="H152" i="3"/>
  <c r="E177" i="3"/>
  <c r="H65" i="3"/>
  <c r="H59" i="3"/>
  <c r="H53" i="3"/>
  <c r="H145" i="3"/>
  <c r="H177" i="3"/>
  <c r="H176" i="3"/>
  <c r="P87" i="3"/>
  <c r="E173" i="3"/>
  <c r="P59" i="3"/>
  <c r="E176" i="3"/>
  <c r="P91" i="3" l="1"/>
  <c r="H105" i="3"/>
  <c r="R87" i="3"/>
  <c r="H179" i="3"/>
  <c r="H104" i="3"/>
  <c r="G117" i="3"/>
  <c r="G112" i="3"/>
  <c r="M107" i="3"/>
  <c r="N106" i="3" s="1"/>
  <c r="H169" i="3"/>
  <c r="E179" i="3"/>
  <c r="G113" i="3"/>
  <c r="H107" i="3" l="1"/>
  <c r="G115" i="3"/>
  <c r="H117" i="3" s="1"/>
  <c r="N104" i="3"/>
  <c r="N105" i="3"/>
  <c r="H113" i="3" l="1"/>
  <c r="N107" i="3"/>
  <c r="H137" i="3"/>
  <c r="H129" i="3"/>
  <c r="H121" i="3"/>
  <c r="H123" i="3"/>
  <c r="H122" i="3"/>
  <c r="H126" i="3"/>
  <c r="H131" i="3"/>
  <c r="H124" i="3"/>
  <c r="H132" i="3"/>
  <c r="H127" i="3"/>
  <c r="H135" i="3"/>
  <c r="H128" i="3"/>
  <c r="H141" i="3"/>
  <c r="H134" i="3"/>
  <c r="H139" i="3"/>
  <c r="H140" i="3"/>
  <c r="H120" i="3"/>
  <c r="H138" i="3"/>
  <c r="H114" i="3"/>
  <c r="H119" i="3"/>
  <c r="H136" i="3"/>
  <c r="H130" i="3"/>
  <c r="H125" i="3"/>
  <c r="H118" i="3"/>
  <c r="H133" i="3"/>
  <c r="H112" i="3"/>
  <c r="H115" i="3" l="1"/>
  <c r="M47" i="1" l="1"/>
  <c r="M46" i="1"/>
  <c r="M45" i="1"/>
  <c r="M42" i="1"/>
  <c r="M40" i="1"/>
  <c r="M39" i="1"/>
  <c r="M37" i="1"/>
  <c r="M27" i="1"/>
  <c r="M24" i="1"/>
  <c r="M23" i="1"/>
  <c r="M22" i="1"/>
  <c r="M21" i="1"/>
  <c r="M19" i="1"/>
  <c r="M17" i="1"/>
  <c r="M16" i="1"/>
  <c r="I27" i="1"/>
  <c r="I24" i="1"/>
  <c r="I23" i="1"/>
  <c r="I22" i="1"/>
  <c r="I21" i="1"/>
  <c r="I19" i="1"/>
  <c r="I17" i="1"/>
  <c r="I16" i="1"/>
  <c r="G27" i="1"/>
  <c r="G24" i="1"/>
  <c r="G23" i="1"/>
  <c r="G22" i="1"/>
  <c r="G21" i="1"/>
  <c r="G19" i="1"/>
  <c r="G17" i="1"/>
  <c r="G16" i="1"/>
  <c r="I35" i="1"/>
  <c r="G35" i="1"/>
  <c r="I45" i="1"/>
  <c r="G45" i="1"/>
  <c r="G46" i="1"/>
  <c r="G47" i="1"/>
  <c r="I39" i="1"/>
  <c r="G39" i="1"/>
  <c r="I41" i="1"/>
  <c r="G40" i="1"/>
  <c r="I34" i="1"/>
  <c r="G34" i="1"/>
  <c r="I33" i="1"/>
  <c r="G33" i="1"/>
  <c r="I46" i="1"/>
  <c r="I42" i="1"/>
  <c r="G42" i="1"/>
  <c r="I37" i="1"/>
  <c r="G37" i="1"/>
  <c r="N19" i="1" l="1"/>
  <c r="N45" i="1"/>
  <c r="N46" i="1"/>
  <c r="N37" i="1"/>
  <c r="G135" i="1" l="1"/>
  <c r="G130" i="1"/>
  <c r="G129" i="1"/>
  <c r="G127" i="1"/>
  <c r="G126" i="1"/>
  <c r="G125" i="1"/>
  <c r="G124" i="1"/>
  <c r="G122" i="1"/>
  <c r="G120" i="1"/>
  <c r="G119" i="1"/>
  <c r="N191" i="2" l="1"/>
  <c r="M187" i="2"/>
  <c r="L187" i="2"/>
  <c r="K187" i="2"/>
  <c r="J187" i="2"/>
  <c r="I187" i="2"/>
  <c r="H187" i="2"/>
  <c r="G187" i="2"/>
  <c r="F187" i="2"/>
  <c r="E187" i="2"/>
  <c r="D187" i="2"/>
  <c r="C187" i="2"/>
  <c r="B187" i="2"/>
  <c r="N186" i="2"/>
  <c r="N185" i="2"/>
  <c r="N184" i="2"/>
  <c r="M178" i="2"/>
  <c r="L178" i="2"/>
  <c r="K178" i="2"/>
  <c r="J178" i="2"/>
  <c r="F178" i="2"/>
  <c r="E178" i="2"/>
  <c r="D178" i="2"/>
  <c r="C178" i="2"/>
  <c r="B178" i="2"/>
  <c r="N177" i="2"/>
  <c r="N176" i="2"/>
  <c r="N175" i="2"/>
  <c r="N178" i="2" l="1"/>
  <c r="N187" i="2"/>
  <c r="N167" i="2"/>
  <c r="M163" i="2"/>
  <c r="L163" i="2"/>
  <c r="K163" i="2"/>
  <c r="J163" i="2"/>
  <c r="I163" i="2"/>
  <c r="H163" i="2"/>
  <c r="G163" i="2"/>
  <c r="F163" i="2"/>
  <c r="E163" i="2"/>
  <c r="D163" i="2"/>
  <c r="C163" i="2"/>
  <c r="B163" i="2"/>
  <c r="N162" i="2"/>
  <c r="N161" i="2"/>
  <c r="N163" i="2" s="1"/>
  <c r="N160" i="2"/>
  <c r="M154" i="2"/>
  <c r="L154" i="2"/>
  <c r="K154" i="2"/>
  <c r="J154" i="2"/>
  <c r="I154" i="2"/>
  <c r="H154" i="2"/>
  <c r="G154" i="2"/>
  <c r="F154" i="2"/>
  <c r="E154" i="2"/>
  <c r="D154" i="2"/>
  <c r="C154" i="2"/>
  <c r="B154" i="2"/>
  <c r="N153" i="2"/>
  <c r="N152" i="2"/>
  <c r="N151" i="2"/>
  <c r="N154" i="2" s="1"/>
  <c r="N143" i="2"/>
  <c r="N140" i="2"/>
  <c r="M140" i="2"/>
  <c r="L140" i="2"/>
  <c r="K140" i="2"/>
  <c r="J140" i="2"/>
  <c r="I140" i="2"/>
  <c r="H140" i="2"/>
  <c r="G140" i="2"/>
  <c r="F140" i="2"/>
  <c r="E140" i="2"/>
  <c r="D140" i="2"/>
  <c r="C140" i="2"/>
  <c r="B140" i="2"/>
  <c r="N139" i="2"/>
  <c r="N138" i="2"/>
  <c r="N137" i="2"/>
  <c r="N131" i="2"/>
  <c r="M131" i="2"/>
  <c r="L131" i="2"/>
  <c r="K131" i="2"/>
  <c r="J131" i="2"/>
  <c r="I131" i="2"/>
  <c r="H131" i="2"/>
  <c r="G131" i="2"/>
  <c r="F131" i="2"/>
  <c r="E131" i="2"/>
  <c r="D131" i="2"/>
  <c r="C131" i="2"/>
  <c r="B131" i="2"/>
  <c r="N130" i="2"/>
  <c r="N129" i="2"/>
  <c r="N128" i="2"/>
  <c r="N120" i="2"/>
  <c r="M120" i="2"/>
  <c r="L120" i="2"/>
  <c r="K120" i="2"/>
  <c r="J120" i="2"/>
  <c r="I120" i="2"/>
  <c r="H120" i="2"/>
  <c r="G120" i="2"/>
  <c r="F120" i="2"/>
  <c r="E120" i="2"/>
  <c r="D120" i="2"/>
  <c r="C120" i="2"/>
  <c r="B120" i="2"/>
  <c r="N119" i="2"/>
  <c r="N118" i="2"/>
  <c r="N117" i="2"/>
  <c r="N111" i="2"/>
  <c r="M111" i="2"/>
  <c r="L111" i="2"/>
  <c r="K111" i="2"/>
  <c r="J111" i="2"/>
  <c r="I111" i="2"/>
  <c r="H111" i="2"/>
  <c r="G111" i="2"/>
  <c r="F111" i="2"/>
  <c r="E111" i="2"/>
  <c r="D111" i="2"/>
  <c r="C111" i="2"/>
  <c r="B111" i="2"/>
  <c r="N110" i="2"/>
  <c r="N109" i="2"/>
  <c r="N108" i="2"/>
  <c r="N91" i="2"/>
  <c r="M91" i="2"/>
  <c r="L91" i="2"/>
  <c r="K91" i="2"/>
  <c r="J91" i="2"/>
  <c r="I91" i="2"/>
  <c r="H91" i="2"/>
  <c r="G91" i="2"/>
  <c r="F91" i="2"/>
  <c r="E91" i="2"/>
  <c r="D91" i="2"/>
  <c r="C91" i="2"/>
  <c r="B91" i="2"/>
  <c r="N90" i="2"/>
  <c r="N89" i="2"/>
  <c r="N88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N81" i="2"/>
  <c r="N80" i="2"/>
  <c r="N79" i="2"/>
  <c r="N72" i="2"/>
  <c r="M72" i="2"/>
  <c r="L72" i="2"/>
  <c r="K72" i="2"/>
  <c r="J72" i="2"/>
  <c r="I72" i="2"/>
  <c r="H72" i="2"/>
  <c r="G72" i="2"/>
  <c r="F72" i="2"/>
  <c r="E72" i="2"/>
  <c r="D72" i="2"/>
  <c r="C72" i="2"/>
  <c r="B72" i="2"/>
  <c r="N71" i="2"/>
  <c r="N70" i="2"/>
  <c r="N69" i="2"/>
  <c r="N63" i="2"/>
  <c r="M63" i="2"/>
  <c r="L63" i="2"/>
  <c r="K63" i="2"/>
  <c r="J63" i="2"/>
  <c r="I63" i="2"/>
  <c r="H63" i="2"/>
  <c r="G63" i="2"/>
  <c r="F63" i="2"/>
  <c r="E63" i="2"/>
  <c r="D63" i="2"/>
  <c r="C63" i="2"/>
  <c r="B63" i="2"/>
  <c r="N62" i="2"/>
  <c r="N61" i="2"/>
  <c r="N60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N52" i="2"/>
  <c r="N51" i="2"/>
  <c r="N50" i="2"/>
  <c r="N44" i="2"/>
  <c r="M42" i="2"/>
  <c r="L42" i="2"/>
  <c r="K42" i="2"/>
  <c r="J42" i="2"/>
  <c r="I42" i="2"/>
  <c r="H42" i="2"/>
  <c r="G42" i="2"/>
  <c r="F42" i="2"/>
  <c r="E42" i="2"/>
  <c r="D42" i="2"/>
  <c r="N41" i="2"/>
  <c r="C40" i="2"/>
  <c r="C42" i="2" s="1"/>
  <c r="B40" i="2"/>
  <c r="N40" i="2" s="1"/>
  <c r="O39" i="2"/>
  <c r="N39" i="2"/>
  <c r="M31" i="2"/>
  <c r="L31" i="2"/>
  <c r="K31" i="2"/>
  <c r="J31" i="2"/>
  <c r="I31" i="2"/>
  <c r="H31" i="2"/>
  <c r="G31" i="2"/>
  <c r="F31" i="2"/>
  <c r="E31" i="2"/>
  <c r="D31" i="2"/>
  <c r="C31" i="2"/>
  <c r="B31" i="2"/>
  <c r="N31" i="2" s="1"/>
  <c r="N30" i="2"/>
  <c r="O29" i="2"/>
  <c r="N29" i="2"/>
  <c r="N28" i="2"/>
  <c r="O28" i="2" s="1"/>
  <c r="C23" i="2"/>
  <c r="M20" i="2"/>
  <c r="L20" i="2"/>
  <c r="K20" i="2"/>
  <c r="J20" i="2"/>
  <c r="I20" i="2"/>
  <c r="H20" i="2"/>
  <c r="G20" i="2"/>
  <c r="F20" i="2"/>
  <c r="E20" i="2"/>
  <c r="D20" i="2"/>
  <c r="C20" i="2"/>
  <c r="N20" i="2" s="1"/>
  <c r="B20" i="2"/>
  <c r="N18" i="2"/>
  <c r="N17" i="2"/>
  <c r="O17" i="2" s="1"/>
  <c r="M9" i="2"/>
  <c r="L9" i="2"/>
  <c r="K9" i="2"/>
  <c r="J9" i="2"/>
  <c r="I9" i="2"/>
  <c r="H9" i="2"/>
  <c r="G9" i="2"/>
  <c r="F9" i="2"/>
  <c r="E9" i="2"/>
  <c r="D9" i="2"/>
  <c r="N9" i="2" s="1"/>
  <c r="C9" i="2"/>
  <c r="B9" i="2"/>
  <c r="N8" i="2"/>
  <c r="N7" i="2"/>
  <c r="N6" i="2"/>
  <c r="O7" i="2" s="1"/>
  <c r="O40" i="2" l="1"/>
  <c r="N42" i="2"/>
  <c r="O18" i="2"/>
  <c r="B42" i="2"/>
  <c r="O6" i="2"/>
  <c r="N94" i="1" l="1"/>
  <c r="N93" i="1"/>
  <c r="N92" i="1"/>
  <c r="N91" i="1"/>
  <c r="N90" i="1"/>
  <c r="K94" i="1"/>
  <c r="K93" i="1"/>
  <c r="K92" i="1"/>
  <c r="K91" i="1"/>
  <c r="K90" i="1"/>
  <c r="H94" i="1"/>
  <c r="H93" i="1"/>
  <c r="H92" i="1"/>
  <c r="H91" i="1"/>
  <c r="H90" i="1"/>
  <c r="E94" i="1"/>
  <c r="E93" i="1"/>
  <c r="E92" i="1"/>
  <c r="E90" i="1"/>
  <c r="B90" i="1"/>
  <c r="I88" i="1"/>
  <c r="G88" i="1"/>
  <c r="I87" i="1"/>
  <c r="G87" i="1"/>
  <c r="I86" i="1"/>
  <c r="G86" i="1"/>
  <c r="M84" i="1"/>
  <c r="I84" i="1"/>
  <c r="G84" i="1"/>
  <c r="G154" i="1" s="1"/>
  <c r="M83" i="1"/>
  <c r="I83" i="1"/>
  <c r="G83" i="1"/>
  <c r="G157" i="1" s="1"/>
  <c r="M81" i="1"/>
  <c r="I81" i="1"/>
  <c r="G81" i="1"/>
  <c r="G160" i="1" s="1"/>
  <c r="M80" i="1"/>
  <c r="I80" i="1"/>
  <c r="G80" i="1"/>
  <c r="G161" i="1" s="1"/>
  <c r="M79" i="1"/>
  <c r="I79" i="1"/>
  <c r="G79" i="1"/>
  <c r="G155" i="1" s="1"/>
  <c r="M76" i="1"/>
  <c r="I76" i="1"/>
  <c r="G76" i="1"/>
  <c r="M74" i="1"/>
  <c r="I74" i="1"/>
  <c r="G74" i="1"/>
  <c r="M70" i="1"/>
  <c r="I70" i="1"/>
  <c r="G70" i="1"/>
  <c r="M64" i="1"/>
  <c r="I64" i="1"/>
  <c r="G64" i="1"/>
  <c r="M62" i="1"/>
  <c r="I62" i="1"/>
  <c r="G62" i="1"/>
  <c r="M60" i="1"/>
  <c r="I60" i="1"/>
  <c r="G60" i="1"/>
  <c r="M59" i="1"/>
  <c r="I59" i="1"/>
  <c r="G59" i="1"/>
  <c r="M55" i="1"/>
  <c r="I55" i="1"/>
  <c r="G55" i="1"/>
  <c r="M54" i="1"/>
  <c r="I54" i="1"/>
  <c r="G54" i="1"/>
  <c r="M53" i="1"/>
  <c r="I53" i="1"/>
  <c r="G53" i="1"/>
  <c r="G156" i="1" l="1"/>
  <c r="G176" i="1"/>
  <c r="G163" i="1"/>
  <c r="G152" i="1"/>
  <c r="G162" i="1"/>
  <c r="N76" i="1"/>
  <c r="I47" i="1" l="1"/>
  <c r="I40" i="1"/>
  <c r="M35" i="1"/>
  <c r="M34" i="1"/>
  <c r="M33" i="1"/>
  <c r="I10" i="1"/>
  <c r="I9" i="1"/>
  <c r="I8" i="1"/>
  <c r="I7" i="1"/>
  <c r="I6" i="1"/>
  <c r="I5" i="1"/>
  <c r="G10" i="1"/>
  <c r="G9" i="1"/>
  <c r="G8" i="1"/>
  <c r="G7" i="1"/>
  <c r="G6" i="1"/>
  <c r="G5" i="1"/>
  <c r="G150" i="1" l="1"/>
  <c r="G153" i="1"/>
  <c r="G52" i="1" l="1"/>
  <c r="G41" i="1"/>
  <c r="G173" i="1" l="1"/>
  <c r="G128" i="1"/>
  <c r="H88" i="1"/>
  <c r="G85" i="1"/>
  <c r="G139" i="1" l="1"/>
  <c r="G112" i="1" s="1"/>
  <c r="G166" i="1"/>
  <c r="N81" i="1"/>
  <c r="N80" i="1"/>
  <c r="N79" i="1"/>
  <c r="G78" i="1"/>
  <c r="G137" i="1" s="1"/>
  <c r="G104" i="1" l="1"/>
  <c r="N84" i="1"/>
  <c r="N83" i="1"/>
  <c r="G82" i="1"/>
  <c r="N74" i="1"/>
  <c r="N70" i="1"/>
  <c r="N64" i="1"/>
  <c r="N62" i="1"/>
  <c r="G61" i="1"/>
  <c r="G133" i="1" s="1"/>
  <c r="N60" i="1"/>
  <c r="N59" i="1"/>
  <c r="N55" i="1"/>
  <c r="N54" i="1"/>
  <c r="N53" i="1"/>
  <c r="N47" i="1"/>
  <c r="N40" i="1"/>
  <c r="N42" i="1"/>
  <c r="N39" i="1"/>
  <c r="N35" i="1"/>
  <c r="N34" i="1"/>
  <c r="N33" i="1"/>
  <c r="N27" i="1"/>
  <c r="N21" i="1"/>
  <c r="N24" i="1"/>
  <c r="N23" i="1"/>
  <c r="N22" i="1"/>
  <c r="N17" i="1"/>
  <c r="N16" i="1"/>
  <c r="M104" i="1" l="1"/>
  <c r="G138" i="1"/>
  <c r="G121" i="1" l="1"/>
  <c r="S95" i="1" l="1"/>
  <c r="M77" i="1" l="1"/>
  <c r="M20" i="1"/>
  <c r="M75" i="1" l="1"/>
  <c r="M71" i="1"/>
  <c r="M43" i="1"/>
  <c r="M41" i="1"/>
  <c r="N41" i="1" s="1"/>
  <c r="I44" i="1"/>
  <c r="G44" i="1"/>
  <c r="M26" i="1"/>
  <c r="M25" i="1"/>
  <c r="M18" i="1"/>
  <c r="G58" i="1" l="1"/>
  <c r="M38" i="1"/>
  <c r="M36" i="1"/>
  <c r="G146" i="1"/>
  <c r="G132" i="1" l="1"/>
  <c r="S96" i="3" l="1"/>
  <c r="S98" i="3" s="1"/>
  <c r="G98" i="3" s="1"/>
  <c r="S95" i="4" l="1"/>
  <c r="S96" i="4" l="1"/>
  <c r="S97" i="4" s="1"/>
  <c r="G97" i="4" s="1"/>
  <c r="I69" i="1" l="1"/>
  <c r="G69" i="1"/>
  <c r="I68" i="1"/>
  <c r="G68" i="1"/>
  <c r="I71" i="1"/>
  <c r="G71" i="1"/>
  <c r="G149" i="1" l="1"/>
  <c r="N68" i="1"/>
  <c r="G63" i="1"/>
  <c r="N69" i="1"/>
  <c r="N71" i="1"/>
  <c r="G159" i="1"/>
  <c r="G134" i="1" l="1"/>
  <c r="M44" i="1"/>
  <c r="N44" i="1" s="1"/>
  <c r="I77" i="1" l="1"/>
  <c r="G77" i="1"/>
  <c r="I36" i="1"/>
  <c r="G36" i="1"/>
  <c r="I20" i="1"/>
  <c r="G20" i="1"/>
  <c r="N77" i="1" l="1"/>
  <c r="N20" i="1"/>
  <c r="N36" i="1"/>
  <c r="G148" i="1"/>
  <c r="I75" i="1"/>
  <c r="G75" i="1"/>
  <c r="I43" i="1"/>
  <c r="G43" i="1"/>
  <c r="G175" i="1" s="1"/>
  <c r="I38" i="1"/>
  <c r="G38" i="1"/>
  <c r="I26" i="1"/>
  <c r="G26" i="1"/>
  <c r="I25" i="1"/>
  <c r="G25" i="1"/>
  <c r="I18" i="1"/>
  <c r="G18" i="1"/>
  <c r="N75" i="1" l="1"/>
  <c r="G158" i="1"/>
  <c r="G73" i="1"/>
  <c r="N43" i="1"/>
  <c r="G147" i="1"/>
  <c r="G144" i="1"/>
  <c r="N25" i="1"/>
  <c r="G32" i="1"/>
  <c r="G172" i="1"/>
  <c r="N26" i="1"/>
  <c r="G171" i="1"/>
  <c r="N38" i="1"/>
  <c r="N18" i="1"/>
  <c r="G145" i="1"/>
  <c r="G174" i="1"/>
  <c r="G15" i="1"/>
  <c r="I14" i="1"/>
  <c r="G14" i="1"/>
  <c r="I13" i="1"/>
  <c r="G13" i="1"/>
  <c r="I12" i="1"/>
  <c r="G12" i="1"/>
  <c r="I11" i="1"/>
  <c r="G11" i="1"/>
  <c r="G123" i="1" l="1"/>
  <c r="G136" i="1"/>
  <c r="G103" i="1"/>
  <c r="G118" i="1"/>
  <c r="G143" i="1"/>
  <c r="G168" i="1" s="1"/>
  <c r="G4" i="1"/>
  <c r="G170" i="1"/>
  <c r="G178" i="1" l="1"/>
  <c r="G102" i="1"/>
  <c r="G89" i="1"/>
  <c r="H4" i="1" s="1"/>
  <c r="G117" i="1"/>
  <c r="G131" i="1"/>
  <c r="M103" i="1"/>
  <c r="E176" i="1"/>
  <c r="P58" i="1" l="1"/>
  <c r="G116" i="1"/>
  <c r="G111" i="1"/>
  <c r="E173" i="1"/>
  <c r="G105" i="1"/>
  <c r="M102" i="1"/>
  <c r="E175" i="1"/>
  <c r="E174" i="1"/>
  <c r="E171" i="1"/>
  <c r="E172" i="1"/>
  <c r="E170" i="1"/>
  <c r="H143" i="1"/>
  <c r="H30" i="1"/>
  <c r="H146" i="1"/>
  <c r="H163" i="1"/>
  <c r="H150" i="1"/>
  <c r="H156" i="1"/>
  <c r="H165" i="1"/>
  <c r="H76" i="1"/>
  <c r="P79" i="1"/>
  <c r="H162" i="1"/>
  <c r="H52" i="1"/>
  <c r="H164" i="1"/>
  <c r="H67" i="1"/>
  <c r="H85" i="1"/>
  <c r="H8" i="1"/>
  <c r="H70" i="1"/>
  <c r="H22" i="1"/>
  <c r="H40" i="1"/>
  <c r="H47" i="1"/>
  <c r="H160" i="1"/>
  <c r="H89" i="1"/>
  <c r="H7" i="1"/>
  <c r="H86" i="1"/>
  <c r="H79" i="1"/>
  <c r="P16" i="1"/>
  <c r="H44" i="1"/>
  <c r="H78" i="1"/>
  <c r="H42" i="1"/>
  <c r="P5" i="1"/>
  <c r="H45" i="1"/>
  <c r="H55" i="1"/>
  <c r="H53" i="1"/>
  <c r="H9" i="1"/>
  <c r="H23" i="1"/>
  <c r="H151" i="1"/>
  <c r="H10" i="1"/>
  <c r="H19" i="1"/>
  <c r="H82" i="1"/>
  <c r="P83" i="1"/>
  <c r="H33" i="1"/>
  <c r="H81" i="1"/>
  <c r="H62" i="1"/>
  <c r="H59" i="1"/>
  <c r="P86" i="1"/>
  <c r="H66" i="1"/>
  <c r="P74" i="1"/>
  <c r="H16" i="1"/>
  <c r="H64" i="1"/>
  <c r="H27" i="1"/>
  <c r="H161" i="1"/>
  <c r="H24" i="1"/>
  <c r="H61" i="1"/>
  <c r="H166" i="1"/>
  <c r="H5" i="1"/>
  <c r="H58" i="1"/>
  <c r="H80" i="1"/>
  <c r="H17" i="1"/>
  <c r="H54" i="1"/>
  <c r="H153" i="1"/>
  <c r="H21" i="1"/>
  <c r="H60" i="1"/>
  <c r="H84" i="1"/>
  <c r="H74" i="1"/>
  <c r="P64" i="1"/>
  <c r="H37" i="1"/>
  <c r="P33" i="1"/>
  <c r="P53" i="1"/>
  <c r="H157" i="1"/>
  <c r="P59" i="1"/>
  <c r="H35" i="1"/>
  <c r="H152" i="1"/>
  <c r="H46" i="1"/>
  <c r="H39" i="1"/>
  <c r="H41" i="1"/>
  <c r="P62" i="1"/>
  <c r="H65" i="1"/>
  <c r="H154" i="1"/>
  <c r="H155" i="1"/>
  <c r="H6" i="1"/>
  <c r="H34" i="1"/>
  <c r="H83" i="1"/>
  <c r="H71" i="1"/>
  <c r="H68" i="1"/>
  <c r="H69" i="1"/>
  <c r="H159" i="1"/>
  <c r="H63" i="1"/>
  <c r="H149" i="1"/>
  <c r="H36" i="1"/>
  <c r="H20" i="1"/>
  <c r="H77" i="1"/>
  <c r="H43" i="1"/>
  <c r="H26" i="1"/>
  <c r="H18" i="1"/>
  <c r="H25" i="1"/>
  <c r="H148" i="1"/>
  <c r="H38" i="1"/>
  <c r="H75" i="1"/>
  <c r="H145" i="1"/>
  <c r="H147" i="1"/>
  <c r="H15" i="1"/>
  <c r="H12" i="1"/>
  <c r="H73" i="1"/>
  <c r="H14" i="1"/>
  <c r="H32" i="1"/>
  <c r="H11" i="1"/>
  <c r="H158" i="1"/>
  <c r="P85" i="1"/>
  <c r="H13" i="1"/>
  <c r="H144" i="1"/>
  <c r="H170" i="1"/>
  <c r="H176" i="1"/>
  <c r="H173" i="1"/>
  <c r="I178" i="1"/>
  <c r="H175" i="1"/>
  <c r="H172" i="1"/>
  <c r="H171" i="1"/>
  <c r="H174" i="1"/>
  <c r="R85" i="1" l="1"/>
  <c r="H102" i="1"/>
  <c r="H104" i="1"/>
  <c r="H103" i="1"/>
  <c r="E178" i="1"/>
  <c r="P89" i="1"/>
  <c r="H178" i="1"/>
  <c r="H168" i="1"/>
  <c r="M105" i="1"/>
  <c r="N102" i="1" s="1"/>
  <c r="G110" i="1"/>
  <c r="G113" i="1" s="1"/>
  <c r="H111" i="1" s="1"/>
  <c r="G115" i="1"/>
  <c r="S94" i="1"/>
  <c r="S96" i="1" s="1"/>
  <c r="G96" i="1" s="1"/>
  <c r="H116" i="1" l="1"/>
  <c r="H115" i="1"/>
  <c r="H110" i="1"/>
  <c r="H133" i="1"/>
  <c r="H126" i="1"/>
  <c r="H124" i="1"/>
  <c r="H128" i="1"/>
  <c r="H119" i="1"/>
  <c r="H132" i="1"/>
  <c r="H122" i="1"/>
  <c r="H112" i="1"/>
  <c r="H129" i="1"/>
  <c r="H125" i="1"/>
  <c r="H127" i="1"/>
  <c r="H139" i="1"/>
  <c r="H137" i="1"/>
  <c r="H121" i="1"/>
  <c r="H120" i="1"/>
  <c r="H138" i="1"/>
  <c r="H135" i="1"/>
  <c r="H130" i="1"/>
  <c r="H134" i="1"/>
  <c r="H118" i="1"/>
  <c r="H136" i="1"/>
  <c r="H123" i="1"/>
  <c r="H131" i="1"/>
  <c r="H117" i="1"/>
  <c r="N104" i="1"/>
  <c r="N103" i="1"/>
  <c r="H105" i="1"/>
  <c r="N105" i="1" l="1"/>
  <c r="H113" i="1"/>
  <c r="S100" i="7" l="1"/>
  <c r="S102" i="7" s="1"/>
  <c r="G102" i="7" s="1"/>
  <c r="S103" i="8" l="1"/>
  <c r="S102" i="8" l="1"/>
  <c r="S104" i="8" s="1"/>
  <c r="G104" i="8" s="1"/>
</calcChain>
</file>

<file path=xl/comments1.xml><?xml version="1.0" encoding="utf-8"?>
<comments xmlns="http://schemas.openxmlformats.org/spreadsheetml/2006/main">
  <authors>
    <author>900003</author>
    <author>Antonio Gilmar Giraldini</author>
  </authors>
  <commentList>
    <comment ref="D37" authorId="0">
      <text>
        <r>
          <rPr>
            <b/>
            <sz val="9"/>
            <color indexed="81"/>
            <rFont val="Tahoma"/>
            <family val="2"/>
          </rPr>
          <t>900003:</t>
        </r>
        <r>
          <rPr>
            <sz val="9"/>
            <color indexed="81"/>
            <rFont val="Tahoma"/>
            <family val="2"/>
          </rPr>
          <t xml:space="preserve">
EX BB ARROJADO. JHK 3/3/10.
EX BB RPPS Atuarial Moderado
</t>
        </r>
      </text>
    </comment>
    <comment ref="E53" authorId="1">
      <text>
        <r>
          <rPr>
            <b/>
            <sz val="9"/>
            <color indexed="81"/>
            <rFont val="Tahoma"/>
            <family val="2"/>
          </rPr>
          <t>Antonio Gilmar Giraldini:</t>
        </r>
        <r>
          <rPr>
            <sz val="9"/>
            <color indexed="81"/>
            <rFont val="Tahoma"/>
            <family val="2"/>
          </rPr>
          <t xml:space="preserve">
Janelas de resgate nos meses:
out/jan = 01 fev
fev/mai = 01 jun
jun/set = 01 out</t>
        </r>
      </text>
    </comment>
    <comment ref="F53" authorId="1">
      <text>
        <r>
          <rPr>
            <b/>
            <sz val="9"/>
            <color indexed="81"/>
            <rFont val="Tahoma"/>
            <family val="2"/>
          </rPr>
          <t>Antonio Gilmar Giraldini:Janelas de resgate nos meses:
out/jan = 01 fev
fev/mai = 01 jun
jun/set = 01 out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0" authorId="1">
      <text>
        <r>
          <rPr>
            <b/>
            <sz val="9"/>
            <color indexed="81"/>
            <rFont val="Tahoma"/>
            <family val="2"/>
          </rPr>
          <t>Antonio Gilmar Giraldini:O FUNDO possui prazo de carência de 5 (cinco) anos para fins de resgate de suas cotas (o “Prazo de Carência): data inicial 29/08/2012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0" authorId="1">
      <text>
        <r>
          <rPr>
            <b/>
            <sz val="9"/>
            <color indexed="81"/>
            <rFont val="Tahoma"/>
            <family val="2"/>
          </rPr>
          <t>Antonio Gilmar Giraldini: O FUNDO possui prazo de carência de 5 (cinco) anos para fins de resgate de suas cotas (o “Prazo de Carência): data inicial 29/08/2012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900003</author>
    <author>Antonio Gilmar Giraldini</author>
  </authors>
  <commentList>
    <comment ref="D38" authorId="0">
      <text>
        <r>
          <rPr>
            <b/>
            <sz val="9"/>
            <color indexed="81"/>
            <rFont val="Tahoma"/>
            <family val="2"/>
          </rPr>
          <t>900003:</t>
        </r>
        <r>
          <rPr>
            <sz val="9"/>
            <color indexed="81"/>
            <rFont val="Tahoma"/>
            <family val="2"/>
          </rPr>
          <t xml:space="preserve">
EX BB ARROJADO. JHK 3/3/10.
EX BB RPPS Atuarial Moderado
</t>
        </r>
      </text>
    </comment>
    <comment ref="E54" authorId="1">
      <text>
        <r>
          <rPr>
            <b/>
            <sz val="9"/>
            <color indexed="81"/>
            <rFont val="Tahoma"/>
            <family val="2"/>
          </rPr>
          <t>Antonio Gilmar Giraldini:</t>
        </r>
        <r>
          <rPr>
            <sz val="9"/>
            <color indexed="81"/>
            <rFont val="Tahoma"/>
            <family val="2"/>
          </rPr>
          <t xml:space="preserve">
Janelas de resgate nos meses:
out/jan = 01 fev
fev/mai = 01 jun
jun/set = 01 out</t>
        </r>
      </text>
    </comment>
    <comment ref="F54" authorId="1">
      <text>
        <r>
          <rPr>
            <b/>
            <sz val="9"/>
            <color indexed="81"/>
            <rFont val="Tahoma"/>
            <family val="2"/>
          </rPr>
          <t>Antonio Gilmar Giraldini:Janelas de resgate nos meses:
out/jan = 01 fev
fev/mai = 01 jun
jun/set = 01 out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2" authorId="1">
      <text>
        <r>
          <rPr>
            <b/>
            <sz val="9"/>
            <color indexed="81"/>
            <rFont val="Tahoma"/>
            <family val="2"/>
          </rPr>
          <t>Antonio Gilmar Giraldini:O FUNDO possui prazo de carência de 5 (cinco) anos para fins de resgate de suas cotas (o “Prazo de Carência): data inicial 29/08/2012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2" authorId="1">
      <text>
        <r>
          <rPr>
            <b/>
            <sz val="9"/>
            <color indexed="81"/>
            <rFont val="Tahoma"/>
            <family val="2"/>
          </rPr>
          <t>Antonio Gilmar Giraldini: O FUNDO possui prazo de carência de 5 (cinco) anos para fins de resgate de suas cotas (o “Prazo de Carência): data inicial 29/08/2012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900003</author>
    <author>Antonio Gilmar Giraldini</author>
  </authors>
  <commentList>
    <comment ref="D38" authorId="0">
      <text>
        <r>
          <rPr>
            <b/>
            <sz val="9"/>
            <color indexed="81"/>
            <rFont val="Tahoma"/>
            <family val="2"/>
          </rPr>
          <t>900003:</t>
        </r>
        <r>
          <rPr>
            <sz val="9"/>
            <color indexed="81"/>
            <rFont val="Tahoma"/>
            <family val="2"/>
          </rPr>
          <t xml:space="preserve">
EX BB ARROJADO. JHK 3/3/10.
EX BB RPPS Atuarial Moderado
</t>
        </r>
      </text>
    </comment>
    <comment ref="E54" authorId="1">
      <text>
        <r>
          <rPr>
            <b/>
            <sz val="9"/>
            <color indexed="81"/>
            <rFont val="Tahoma"/>
            <family val="2"/>
          </rPr>
          <t>Antonio Gilmar Giraldini:</t>
        </r>
        <r>
          <rPr>
            <sz val="9"/>
            <color indexed="81"/>
            <rFont val="Tahoma"/>
            <family val="2"/>
          </rPr>
          <t xml:space="preserve">
Janelas de resgate nos meses:
out/jan = 01 fev
fev/mai = 01 jun
jun/set = 01 out</t>
        </r>
      </text>
    </comment>
    <comment ref="F54" authorId="1">
      <text>
        <r>
          <rPr>
            <b/>
            <sz val="9"/>
            <color indexed="81"/>
            <rFont val="Tahoma"/>
            <family val="2"/>
          </rPr>
          <t>Antonio Gilmar Giraldini:Janelas de resgate nos meses:
out/jan = 01 fev
fev/mai = 01 jun
jun/set = 01 out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1" authorId="1">
      <text>
        <r>
          <rPr>
            <b/>
            <sz val="9"/>
            <color indexed="81"/>
            <rFont val="Tahoma"/>
            <family val="2"/>
          </rPr>
          <t>Antonio Gilmar Giraldini:O FUNDO possui prazo de carência de 5 (cinco) anos para fins de resgate de suas cotas (o “Prazo de Carência): data inicial 29/08/2012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1" authorId="1">
      <text>
        <r>
          <rPr>
            <b/>
            <sz val="9"/>
            <color indexed="81"/>
            <rFont val="Tahoma"/>
            <family val="2"/>
          </rPr>
          <t>Antonio Gilmar Giraldini: O FUNDO possui prazo de carência de 5 (cinco) anos para fins de resgate de suas cotas (o “Prazo de Carência): data inicial 29/08/2012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900003</author>
    <author>Antonio Gilmar Giraldini</author>
  </authors>
  <commentList>
    <comment ref="D34" authorId="0">
      <text>
        <r>
          <rPr>
            <b/>
            <sz val="9"/>
            <color indexed="81"/>
            <rFont val="Tahoma"/>
            <family val="2"/>
          </rPr>
          <t>900003:</t>
        </r>
        <r>
          <rPr>
            <sz val="9"/>
            <color indexed="81"/>
            <rFont val="Tahoma"/>
            <family val="2"/>
          </rPr>
          <t xml:space="preserve">
EX BB ARROJADO. JHK 3/3/10.
EX BB RPPS Atuarial Moderado
</t>
        </r>
      </text>
    </comment>
    <comment ref="E56" authorId="1">
      <text>
        <r>
          <rPr>
            <b/>
            <sz val="9"/>
            <color indexed="81"/>
            <rFont val="Tahoma"/>
            <family val="2"/>
          </rPr>
          <t>Antonio Gilmar Giraldini:</t>
        </r>
        <r>
          <rPr>
            <sz val="9"/>
            <color indexed="81"/>
            <rFont val="Tahoma"/>
            <family val="2"/>
          </rPr>
          <t xml:space="preserve">
Janelas de resgate nos meses:
out/jan = 01 fev
fev/mai = 01 jun
jun/set = 01 out</t>
        </r>
      </text>
    </comment>
    <comment ref="F56" authorId="1">
      <text>
        <r>
          <rPr>
            <b/>
            <sz val="9"/>
            <color indexed="81"/>
            <rFont val="Tahoma"/>
            <family val="2"/>
          </rPr>
          <t>Antonio Gilmar Giraldini:Janelas de resgate nos meses:
out/jan = 01 fev
fev/mai = 01 jun
jun/set = 01 out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3" authorId="1">
      <text>
        <r>
          <rPr>
            <b/>
            <sz val="9"/>
            <color indexed="81"/>
            <rFont val="Tahoma"/>
            <family val="2"/>
          </rPr>
          <t>Antonio Gilmar Giraldini:O FUNDO possui prazo de carência de 5 (cinco) anos para fins de resgate de suas cotas (o “Prazo de Carência): data inicial 29/08/2012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3" authorId="1">
      <text>
        <r>
          <rPr>
            <b/>
            <sz val="9"/>
            <color indexed="81"/>
            <rFont val="Tahoma"/>
            <family val="2"/>
          </rPr>
          <t>Antonio Gilmar Giraldini: O FUNDO possui prazo de carência de 5 (cinco) anos para fins de resgate de suas cotas (o “Prazo de Carência): data inicial 29/08/2012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900003</author>
    <author>Antonio Gilmar Giraldini</author>
  </authors>
  <commentList>
    <comment ref="D34" authorId="0">
      <text>
        <r>
          <rPr>
            <b/>
            <sz val="9"/>
            <color indexed="81"/>
            <rFont val="Tahoma"/>
            <family val="2"/>
          </rPr>
          <t>900003:</t>
        </r>
        <r>
          <rPr>
            <sz val="9"/>
            <color indexed="81"/>
            <rFont val="Tahoma"/>
            <family val="2"/>
          </rPr>
          <t xml:space="preserve">
EX BB ARROJADO. JHK 3/3/10.
EX BB RPPS Atuarial Moderado
</t>
        </r>
      </text>
    </comment>
    <comment ref="E55" authorId="1">
      <text>
        <r>
          <rPr>
            <b/>
            <sz val="9"/>
            <color indexed="81"/>
            <rFont val="Tahoma"/>
            <family val="2"/>
          </rPr>
          <t>Antonio Gilmar Giraldini:</t>
        </r>
        <r>
          <rPr>
            <sz val="9"/>
            <color indexed="81"/>
            <rFont val="Tahoma"/>
            <family val="2"/>
          </rPr>
          <t xml:space="preserve">
Janelas de resgate nos meses:
out/jan = 01 fev
fev/mai = 01 jun
jun/set = 01 out</t>
        </r>
      </text>
    </comment>
    <comment ref="F55" authorId="1">
      <text>
        <r>
          <rPr>
            <b/>
            <sz val="9"/>
            <color indexed="81"/>
            <rFont val="Tahoma"/>
            <family val="2"/>
          </rPr>
          <t>Antonio Gilmar Giraldini:Janelas de resgate nos meses:
out/jan = 01 fev
fev/mai = 01 jun
jun/set = 01 out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2" authorId="1">
      <text>
        <r>
          <rPr>
            <b/>
            <sz val="9"/>
            <color indexed="81"/>
            <rFont val="Tahoma"/>
            <family val="2"/>
          </rPr>
          <t>Antonio Gilmar Giraldini:O FUNDO possui prazo de carência de 5 (cinco) anos para fins de resgate de suas cotas (o “Prazo de Carência): data inicial 29/08/2012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2" authorId="1">
      <text>
        <r>
          <rPr>
            <b/>
            <sz val="9"/>
            <color indexed="81"/>
            <rFont val="Tahoma"/>
            <family val="2"/>
          </rPr>
          <t>Antonio Gilmar Giraldini: O FUNDO possui prazo de carência de 5 (cinco) anos para fins de resgate de suas cotas (o “Prazo de Carência): data inicial 29/08/2012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900003</author>
    <author>Antonio Gilmar Giraldini</author>
  </authors>
  <commentList>
    <comment ref="D34" authorId="0">
      <text>
        <r>
          <rPr>
            <b/>
            <sz val="9"/>
            <color indexed="81"/>
            <rFont val="Tahoma"/>
            <family val="2"/>
          </rPr>
          <t>900003:</t>
        </r>
        <r>
          <rPr>
            <sz val="9"/>
            <color indexed="81"/>
            <rFont val="Tahoma"/>
            <family val="2"/>
          </rPr>
          <t xml:space="preserve">
EX BB ARROJADO. JHK 3/3/10.
EX BB RPPS Atuarial Moderado
</t>
        </r>
      </text>
    </comment>
    <comment ref="E55" authorId="1">
      <text>
        <r>
          <rPr>
            <b/>
            <sz val="9"/>
            <color indexed="81"/>
            <rFont val="Tahoma"/>
            <family val="2"/>
          </rPr>
          <t>Antonio Gilmar Giraldini:</t>
        </r>
        <r>
          <rPr>
            <sz val="9"/>
            <color indexed="81"/>
            <rFont val="Tahoma"/>
            <family val="2"/>
          </rPr>
          <t xml:space="preserve">
Janelas de resgate nos meses:
out/jan = 01 fev
fev/mai = 01 jun
jun/set = 01 out</t>
        </r>
      </text>
    </comment>
    <comment ref="F55" authorId="1">
      <text>
        <r>
          <rPr>
            <b/>
            <sz val="9"/>
            <color indexed="81"/>
            <rFont val="Tahoma"/>
            <family val="2"/>
          </rPr>
          <t>Antonio Gilmar Giraldini:Janelas de resgate nos meses:
out/jan = 01 fev
fev/mai = 01 jun
jun/set = 01 out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4" authorId="1">
      <text>
        <r>
          <rPr>
            <b/>
            <sz val="9"/>
            <color indexed="81"/>
            <rFont val="Tahoma"/>
            <family val="2"/>
          </rPr>
          <t>Antonio Gilmar Giraldini:O FUNDO possui prazo de carência de 5 (cinco) anos para fins de resgate de suas cotas (o “Prazo de Carência): data inicial 29/08/2012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4" authorId="1">
      <text>
        <r>
          <rPr>
            <b/>
            <sz val="9"/>
            <color indexed="81"/>
            <rFont val="Tahoma"/>
            <family val="2"/>
          </rPr>
          <t>Antonio Gilmar Giraldini: O FUNDO possui prazo de carência de 5 (cinco) anos para fins de resgate de suas cotas (o “Prazo de Carência): data inicial 29/08/2012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900003</author>
    <author>Antonio Gilmar Giraldini</author>
  </authors>
  <commentList>
    <comment ref="D42" authorId="0">
      <text>
        <r>
          <rPr>
            <b/>
            <sz val="9"/>
            <color indexed="81"/>
            <rFont val="Tahoma"/>
            <family val="2"/>
          </rPr>
          <t>900003:</t>
        </r>
        <r>
          <rPr>
            <sz val="9"/>
            <color indexed="81"/>
            <rFont val="Tahoma"/>
            <family val="2"/>
          </rPr>
          <t xml:space="preserve">
EX BB ARROJADO. JHK 3/3/10.
EX BB RPPS Atuarial Moderado
</t>
        </r>
      </text>
    </comment>
    <comment ref="E57" authorId="1">
      <text>
        <r>
          <rPr>
            <b/>
            <sz val="9"/>
            <color indexed="81"/>
            <rFont val="Tahoma"/>
            <family val="2"/>
          </rPr>
          <t>Antonio Gilmar Giraldini:</t>
        </r>
        <r>
          <rPr>
            <sz val="9"/>
            <color indexed="81"/>
            <rFont val="Tahoma"/>
            <family val="2"/>
          </rPr>
          <t xml:space="preserve">
Janelas de resgate nos meses:
out/jan = 01 fev
fev/mai = 01 jun
jun/set = 01 out</t>
        </r>
      </text>
    </comment>
    <comment ref="F57" authorId="1">
      <text>
        <r>
          <rPr>
            <b/>
            <sz val="9"/>
            <color indexed="81"/>
            <rFont val="Tahoma"/>
            <family val="2"/>
          </rPr>
          <t>Antonio Gilmar Giraldini:Janelas de resgate nos meses:
out/jan = 01 fev
fev/mai = 01 jun
jun/set = 01 out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6" authorId="1">
      <text>
        <r>
          <rPr>
            <b/>
            <sz val="9"/>
            <color indexed="81"/>
            <rFont val="Tahoma"/>
            <family val="2"/>
          </rPr>
          <t>Antonio Gilmar Giraldini:O FUNDO possui prazo de carência de 5 (cinco) anos para fins de resgate de suas cotas (o “Prazo de Carência): data inicial 29/08/2012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6" authorId="1">
      <text>
        <r>
          <rPr>
            <b/>
            <sz val="9"/>
            <color indexed="81"/>
            <rFont val="Tahoma"/>
            <family val="2"/>
          </rPr>
          <t>Antonio Gilmar Giraldini: O FUNDO possui prazo de carência de 5 (cinco) anos para fins de resgate de suas cotas (o “Prazo de Carência): data inicial 29/08/2012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<sst xmlns="http://schemas.openxmlformats.org/spreadsheetml/2006/main" count="3857" uniqueCount="354">
  <si>
    <t>INSTITUIÇÕES</t>
  </si>
  <si>
    <t>BCO - AG - C/C</t>
  </si>
  <si>
    <t>FUNDOS / CNPJ</t>
  </si>
  <si>
    <t>Resgate</t>
  </si>
  <si>
    <t>VLR. APLICADO</t>
  </si>
  <si>
    <t>Rentabilidade</t>
  </si>
  <si>
    <t>Limites</t>
  </si>
  <si>
    <t>SEGMENTO / CATEGORIA</t>
  </si>
  <si>
    <t>Limite</t>
  </si>
  <si>
    <t>NORMA</t>
  </si>
  <si>
    <t>FFINPREV</t>
  </si>
  <si>
    <t>Nominal</t>
  </si>
  <si>
    <t>% Patr</t>
  </si>
  <si>
    <t>Mês</t>
  </si>
  <si>
    <t>Exercicio</t>
  </si>
  <si>
    <t>% Bechmark ano</t>
  </si>
  <si>
    <t>PL do Fundo</t>
  </si>
  <si>
    <t>%</t>
  </si>
  <si>
    <t>Aplic. X Lei X PI</t>
  </si>
  <si>
    <t>Enquadr.Resol.3922/2010</t>
  </si>
  <si>
    <t>Títulos Públicos</t>
  </si>
  <si>
    <r>
      <rPr>
        <sz val="10"/>
        <rFont val="Arial"/>
        <family val="2"/>
      </rPr>
      <t xml:space="preserve">CEFederal 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(custodiante)</t>
    </r>
  </si>
  <si>
    <t>Custódia</t>
  </si>
  <si>
    <t>NTN-B (ipca) venc 15/05/2019 -  8.000</t>
  </si>
  <si>
    <t>IPCA + 6,599092  % aa</t>
  </si>
  <si>
    <t>NTN-B (ipca) venc 15/05/2021 - 3.450</t>
  </si>
  <si>
    <t>IPCA + 6,35 % aa</t>
  </si>
  <si>
    <t>NTN-B (ipca) venc 15/05/2023 -  7.600</t>
  </si>
  <si>
    <t>IPCA + 6,45  % aa</t>
  </si>
  <si>
    <t>NTN-B (ipca) venc 15/05/2035 - 8.500</t>
  </si>
  <si>
    <t>IPCA + 7,484 % aa</t>
  </si>
  <si>
    <t>NTN-B (ipca) venc 15/05/2035 - 3.450</t>
  </si>
  <si>
    <t>IPCA + 6,23 % aa</t>
  </si>
  <si>
    <t>NTN-B (ipca) venc 15/05/2035 - 6.000</t>
  </si>
  <si>
    <t>IPCA + 6,49 % aa</t>
  </si>
  <si>
    <t>Santander</t>
  </si>
  <si>
    <t>033 - 0060 - 45.000479-9</t>
  </si>
  <si>
    <r>
      <t>FIC FI  IMA-</t>
    </r>
    <r>
      <rPr>
        <b/>
        <sz val="10"/>
        <rFont val="Arial"/>
        <family val="2"/>
      </rPr>
      <t>B5</t>
    </r>
    <r>
      <rPr>
        <sz val="9"/>
        <rFont val="Arial"/>
        <family val="2"/>
      </rPr>
      <t xml:space="preserve"> Títulos Públ.- 13.455.117/0001/01</t>
    </r>
  </si>
  <si>
    <t>D+0</t>
  </si>
  <si>
    <t>D+1</t>
  </si>
  <si>
    <t>do IMA-B</t>
  </si>
  <si>
    <t>Renda Fixa TP</t>
  </si>
  <si>
    <t>Bco do Brasil</t>
  </si>
  <si>
    <t>001 - 0427 - 48137-8</t>
  </si>
  <si>
    <t>BB Previd RF IRF-M  - 07.111.384/0001-69</t>
  </si>
  <si>
    <t>do IRF-M</t>
  </si>
  <si>
    <t xml:space="preserve">Safra </t>
  </si>
  <si>
    <t>IMA-B FIC FI  - 10.787.822/0001-18</t>
  </si>
  <si>
    <t>D+3</t>
  </si>
  <si>
    <t>D+4</t>
  </si>
  <si>
    <t>CEF</t>
  </si>
  <si>
    <t>104 - 2700 - 006.00000068-0</t>
  </si>
  <si>
    <r>
      <t>FI  IMA</t>
    </r>
    <r>
      <rPr>
        <b/>
        <sz val="10"/>
        <rFont val="Arial"/>
        <family val="2"/>
      </rPr>
      <t>-B5</t>
    </r>
    <r>
      <rPr>
        <sz val="9"/>
        <rFont val="Arial"/>
        <family val="2"/>
      </rPr>
      <t xml:space="preserve">  RF Tít Públicos - 11.060.913/0001-10</t>
    </r>
  </si>
  <si>
    <t>do IMA-B5</t>
  </si>
  <si>
    <t>FI  IRF-M  RF LP - 14.508.605/0001-00</t>
  </si>
  <si>
    <t>ITAÚ</t>
  </si>
  <si>
    <t>Instit RF FIC IMA B5  - 09.093.819/0001-15</t>
  </si>
  <si>
    <t>Geração Futuro</t>
  </si>
  <si>
    <t>GF Juro Real IMA-B  - 19.419.157/0001-84</t>
  </si>
  <si>
    <t>BB Previd RF IMA-B  - 07.861.554/0001-22</t>
  </si>
  <si>
    <t>Renda Fixa</t>
  </si>
  <si>
    <t>BB Previd RF IMA-B5  - 03.543.447/0001-03</t>
  </si>
  <si>
    <t>Bradesco</t>
  </si>
  <si>
    <t>237 - 0109 - 385300-4</t>
  </si>
  <si>
    <t>Bradesco FIC FI RF - IMA-B - 08.702.798/0001-25</t>
  </si>
  <si>
    <t>238 - 0109 - 385300-4</t>
  </si>
  <si>
    <t>Bradesco FIC FI RF - IMA-B5 - 20.216.216/0001-04</t>
  </si>
  <si>
    <t>Santander FFIN2</t>
  </si>
  <si>
    <t>033 - 0060 - 45000479-9</t>
  </si>
  <si>
    <r>
      <t>FIC Corporate RF Ref DI - 03.069.104/0001-40</t>
    </r>
    <r>
      <rPr>
        <sz val="11"/>
        <color theme="1"/>
        <rFont val="Calibri"/>
        <family val="2"/>
        <scheme val="minor"/>
      </rPr>
      <t/>
    </r>
  </si>
  <si>
    <t>D + 0</t>
  </si>
  <si>
    <t>do CDI</t>
  </si>
  <si>
    <t>Santander FFIN1</t>
  </si>
  <si>
    <r>
      <t>FIC Instit Master DI - 02.367.527/0001-84</t>
    </r>
    <r>
      <rPr>
        <sz val="11"/>
        <color theme="1"/>
        <rFont val="Calibri"/>
        <family val="2"/>
        <scheme val="minor"/>
      </rPr>
      <t/>
    </r>
  </si>
  <si>
    <t>D + 1</t>
  </si>
  <si>
    <t>AZQUEST</t>
  </si>
  <si>
    <t>Yield FIQRF LP  CNPJ 16.599.968/0001-16</t>
  </si>
  <si>
    <t>34 - 0060 - 45.000479-9</t>
  </si>
  <si>
    <t>Soberano RF Simples   - 06.175.696/0001-73</t>
  </si>
  <si>
    <t>Instit ALOC DIN RF FIC  - 21.838.150/0001-49</t>
  </si>
  <si>
    <t>IPCA</t>
  </si>
  <si>
    <t>FI RF DI Premium - 03.399.411/0001-90</t>
  </si>
  <si>
    <t>Ourinvest</t>
  </si>
  <si>
    <t>Suppliercard Senior 1 - 08.692.888/0001-82</t>
  </si>
  <si>
    <t>D+120</t>
  </si>
  <si>
    <t>D+121</t>
  </si>
  <si>
    <t>BVA</t>
  </si>
  <si>
    <t>044 - 12233001</t>
  </si>
  <si>
    <t>Multisetorial Master II - 11.989.256/0001-90</t>
  </si>
  <si>
    <t>Fechado</t>
  </si>
  <si>
    <t>Trend Bank</t>
  </si>
  <si>
    <t>Senior Multsetorial - 08.927.488/0001-09</t>
  </si>
  <si>
    <t>Itaú RPI Ações Ibov FICFI - 08.817.414/0001-10</t>
  </si>
  <si>
    <t>D+2</t>
  </si>
  <si>
    <t>D+5</t>
  </si>
  <si>
    <t>do IBOV</t>
  </si>
  <si>
    <t>Renda Variável</t>
  </si>
  <si>
    <t>BNP Paribas</t>
  </si>
  <si>
    <t>Ace Ações IBRX  - 04.362.333/0001-11</t>
  </si>
  <si>
    <t>do IBRX</t>
  </si>
  <si>
    <t>422 - 02700 -020584-5</t>
  </si>
  <si>
    <t>FIA Caixa  Brasil ETF CNPJ 15.154.236/0001-50</t>
  </si>
  <si>
    <t>Renda variável</t>
  </si>
  <si>
    <t>FIC FIA Small Cap - 11.392.165/0001-72</t>
  </si>
  <si>
    <t>D+27</t>
  </si>
  <si>
    <t>D+28</t>
  </si>
  <si>
    <t>FIC FIA Ações - 07.279.657/0001-89</t>
  </si>
  <si>
    <t xml:space="preserve">ITAÚ </t>
  </si>
  <si>
    <r>
      <t>FIA Ações Dividendos -02.887.290/0001-62</t>
    </r>
    <r>
      <rPr>
        <sz val="11"/>
        <color theme="1"/>
        <rFont val="Calibri"/>
        <family val="2"/>
        <scheme val="minor"/>
      </rPr>
      <t/>
    </r>
  </si>
  <si>
    <t>FIC Valor Dividendos CNPJ 15.154.441/0001-15</t>
  </si>
  <si>
    <t>D+30</t>
  </si>
  <si>
    <t>D+33</t>
  </si>
  <si>
    <t>IDIV</t>
  </si>
  <si>
    <r>
      <t>ARX Investimentos</t>
    </r>
    <r>
      <rPr>
        <vertAlign val="superscript"/>
        <sz val="12"/>
        <rFont val="Arial"/>
        <family val="2"/>
      </rPr>
      <t>2)</t>
    </r>
  </si>
  <si>
    <t>237 - 2856-8 - 585.969-7</t>
  </si>
  <si>
    <r>
      <t>ARX Income FI  Ações-Divid -</t>
    </r>
    <r>
      <rPr>
        <sz val="7"/>
        <rFont val="Arial"/>
        <family val="2"/>
      </rPr>
      <t xml:space="preserve"> </t>
    </r>
    <r>
      <rPr>
        <sz val="9"/>
        <rFont val="Arial"/>
        <family val="2"/>
      </rPr>
      <t>03.168.062/0001-03</t>
    </r>
  </si>
  <si>
    <t>Western Asset</t>
  </si>
  <si>
    <t>WA US Index 500 CNPJ 17.453.850/0001-48</t>
  </si>
  <si>
    <t>CDI</t>
  </si>
  <si>
    <r>
      <t>Capital Protegido Ibov FIM - 26.470.464/0001-55</t>
    </r>
    <r>
      <rPr>
        <sz val="11"/>
        <color theme="1"/>
        <rFont val="Calibri"/>
        <family val="2"/>
        <scheme val="minor"/>
      </rPr>
      <t/>
    </r>
  </si>
  <si>
    <t>D+360</t>
  </si>
  <si>
    <t>Imobiliário</t>
  </si>
  <si>
    <t>RB Capital</t>
  </si>
  <si>
    <t>FII Renda II - 09.006.914/0001-34 (107.933 quotas)</t>
  </si>
  <si>
    <t xml:space="preserve">Kinea </t>
  </si>
  <si>
    <t>FIP CNPJ 16.437.148/0001-28</t>
  </si>
  <si>
    <t>FIP</t>
  </si>
  <si>
    <t>BRZ Brasil Portos</t>
  </si>
  <si>
    <t>FIP CNPJ 14.737.553/0001-36</t>
  </si>
  <si>
    <t>BTG Pactual</t>
  </si>
  <si>
    <t>FIP Infraestr II  CNPJ 14.584.094/0001-06</t>
  </si>
  <si>
    <t xml:space="preserve">Disponibilidade de Caixa </t>
  </si>
  <si>
    <t>Disponibilidade em Caixa FFIN1</t>
  </si>
  <si>
    <t>Disponibilidade</t>
  </si>
  <si>
    <t>Disponibilidade em Caixa FFIN2( BB+Santander+Itaú+CEF)</t>
  </si>
  <si>
    <t>TOTAL DE ATIVOS</t>
  </si>
  <si>
    <t>IBOVESPA</t>
  </si>
  <si>
    <t>IFIX</t>
  </si>
  <si>
    <t>IRF-M</t>
  </si>
  <si>
    <t>Rentabilidade  no mês SBCPREV  FFIN2</t>
  </si>
  <si>
    <t>IBrX</t>
  </si>
  <si>
    <t>IMA-B</t>
  </si>
  <si>
    <t>IRFM 1</t>
  </si>
  <si>
    <t xml:space="preserve">Meta Atuarial - Ano </t>
  </si>
  <si>
    <t>INPC</t>
  </si>
  <si>
    <t>IBrX50</t>
  </si>
  <si>
    <t>IMA-G</t>
  </si>
  <si>
    <t>IRFM 1+</t>
  </si>
  <si>
    <t>SMLL</t>
  </si>
  <si>
    <t>IMA-B 5</t>
  </si>
  <si>
    <t>IMA- C</t>
  </si>
  <si>
    <t>Meta Atuarial - 12 Meses</t>
  </si>
  <si>
    <t>IMA-B 5+</t>
  </si>
  <si>
    <t>IMA-S</t>
  </si>
  <si>
    <t xml:space="preserve"> </t>
  </si>
  <si>
    <t>Total FFIN2 + FFINPrev</t>
  </si>
  <si>
    <t>Consolidado</t>
  </si>
  <si>
    <t>rentabilidade no mês</t>
  </si>
  <si>
    <t>Disponibilidade Caixa</t>
  </si>
  <si>
    <t>Disponibilidade de Caixa</t>
  </si>
  <si>
    <t>Total Geral</t>
  </si>
  <si>
    <t>Reag Renda Imob</t>
  </si>
  <si>
    <t>REAG FII - 17.374.696/0001-19</t>
  </si>
  <si>
    <t>Títulos Públicos - Art. 7º, Inciso I, Alínea A</t>
  </si>
  <si>
    <t>Fundos Referenciados Renda Fixa  que contenham somente TP - Art. 7º, Inciso I, Alínea B</t>
  </si>
  <si>
    <t>Operações Compromissadas Lastreadas Exclusivamente em TP - Art. 7º, Inciso II</t>
  </si>
  <si>
    <t>Fundos  Renda Fixa  "Referenciados"  - Art. 7º, Inciso III, Alínea "A"</t>
  </si>
  <si>
    <t xml:space="preserve">Renda Fixa </t>
  </si>
  <si>
    <t>Fundos de Índice ETF  Renda Fixa  que contenham somente TP - Art. 7º, Inciso I, Alínea C</t>
  </si>
  <si>
    <t>Artigo 7º, Inciso I,  Alinea "A"</t>
  </si>
  <si>
    <t>Fundos de Renda Fixa  Geral - Art. 7º, Inciso IV, Alínea "A"</t>
  </si>
  <si>
    <t>Fundos de Índice ETF  Renda Fixa  - Demais Índices - Art. 7º, Inciso IV, Alínea "B"</t>
  </si>
  <si>
    <t>Fundos de Índice ETF  Renda Fixa  - Art. 7º, Inciso III,  Alínea B</t>
  </si>
  <si>
    <t>Letras Imobiliárias Garantida - Art. 7º, Inciso V, Alínea "B"</t>
  </si>
  <si>
    <t>Art. 7º, Inciso V, Alínea "B"</t>
  </si>
  <si>
    <t>Certificados de Depósitos Bancários - CDB - Art. 7º, Inciso VI, Alínea "A"</t>
  </si>
  <si>
    <t>Poupança - Art. 7º, Inciso VI, Alínea "B"</t>
  </si>
  <si>
    <t>FIDC Cotas Sênior -Art. 7º, Inciso VII, Alínea "A"</t>
  </si>
  <si>
    <t>Fundos Renda Fixa Crédito Privado - Art. 7º, Inciso VII, Alínea "B"</t>
  </si>
  <si>
    <t>Fundos de Debêntures de Infraestrutura -Art. 7º, Inciso VII, Alínea "C"</t>
  </si>
  <si>
    <t>Fundo de Ações Referenciado -  Art. 8º, Inciso I, Alínea "A"</t>
  </si>
  <si>
    <t>Fundo de Ações Abertos -  Art. 8º, Inciso II, Alínea "A"</t>
  </si>
  <si>
    <t>Fundo de  Índices ETF Referenciado - Art. 8º, Inciso I, Alínea "B"</t>
  </si>
  <si>
    <t>Fundo de  Índices ETF Abertosd -  Art. 8º, Inciso II, Alínea "B"</t>
  </si>
  <si>
    <t>Fundos  Multimercados - Art. 8º, Inciso III</t>
  </si>
  <si>
    <t>Fundo de Participações - FIP - Art. 8º, Inciso IV, Alínea "A"</t>
  </si>
  <si>
    <t>Fundo Imobiliário FII - Art. 8º, Inciso IV, Alínea "B"</t>
  </si>
  <si>
    <t>NTN-B (ipca) venc 15/05/2019 -  4.000</t>
  </si>
  <si>
    <t>NTN-B (ipca) venc 15/05/2023 - 2.000</t>
  </si>
  <si>
    <t>NTN-B (ipca) venc 15/05/2026 - 3.400</t>
  </si>
  <si>
    <t>IPCA + 6,248 % aa</t>
  </si>
  <si>
    <t>NTN-B (ipca) venc 15/05/2035 - 3.200</t>
  </si>
  <si>
    <r>
      <t xml:space="preserve">CEFederal  (custodiante) </t>
    </r>
    <r>
      <rPr>
        <sz val="8"/>
        <color rgb="FF00B0F0"/>
        <rFont val="Arial"/>
        <family val="2"/>
      </rPr>
      <t>FFINPREV</t>
    </r>
  </si>
  <si>
    <r>
      <t xml:space="preserve">CEFederal  (custodiante)  </t>
    </r>
    <r>
      <rPr>
        <sz val="8"/>
        <color rgb="FF00B0F0"/>
        <rFont val="Arial"/>
        <family val="2"/>
      </rPr>
      <t>FFINPREV</t>
    </r>
  </si>
  <si>
    <r>
      <t xml:space="preserve">Bco do Brasil- </t>
    </r>
    <r>
      <rPr>
        <sz val="8"/>
        <color rgb="FF00B0F0"/>
        <rFont val="Arial"/>
        <family val="2"/>
      </rPr>
      <t>FFINPREV</t>
    </r>
  </si>
  <si>
    <r>
      <t>SBCPREV -  CONSOLIDADO</t>
    </r>
    <r>
      <rPr>
        <b/>
        <sz val="12"/>
        <rFont val="Arial"/>
        <family val="2"/>
      </rPr>
      <t xml:space="preserve"> - RELATÓRIO DE ENQUADRAMENTO PERANTE A RESOLUÇÃO 3.922 -   BASE: 31/01/2018</t>
    </r>
  </si>
  <si>
    <r>
      <t xml:space="preserve">CEF </t>
    </r>
    <r>
      <rPr>
        <sz val="12"/>
        <color rgb="FF00B0F0"/>
        <rFont val="Arial"/>
        <family val="2"/>
      </rPr>
      <t>FFINPREV</t>
    </r>
  </si>
  <si>
    <t>CX FI Brasil IMA-B5 TPRF - 11.060.913/0001-10</t>
  </si>
  <si>
    <r>
      <t xml:space="preserve">Bradesco </t>
    </r>
    <r>
      <rPr>
        <sz val="12"/>
        <color rgb="FF00B0F0"/>
        <rFont val="Arial"/>
        <family val="2"/>
      </rPr>
      <t>FFINPREV</t>
    </r>
  </si>
  <si>
    <r>
      <t>CEF</t>
    </r>
    <r>
      <rPr>
        <sz val="12"/>
        <color rgb="FF00B0F0"/>
        <rFont val="Arial"/>
        <family val="2"/>
      </rPr>
      <t xml:space="preserve"> FFINPREV</t>
    </r>
  </si>
  <si>
    <t>105 - 2700 - 006.00000068-0</t>
  </si>
  <si>
    <t>Novo Brasil IMA-B RF - 10.646.895/0001-90</t>
  </si>
  <si>
    <r>
      <t xml:space="preserve">ITAÚ </t>
    </r>
    <r>
      <rPr>
        <sz val="12"/>
        <color rgb="FF00B0F0"/>
        <rFont val="Arial"/>
        <family val="2"/>
      </rPr>
      <t xml:space="preserve"> FFINPREV</t>
    </r>
  </si>
  <si>
    <r>
      <t xml:space="preserve">ITAÚ </t>
    </r>
    <r>
      <rPr>
        <sz val="12"/>
        <color theme="3" tint="0.39997558519241921"/>
        <rFont val="Arial"/>
        <family val="2"/>
      </rPr>
      <t xml:space="preserve"> </t>
    </r>
    <r>
      <rPr>
        <sz val="12"/>
        <color rgb="FF00B0F0"/>
        <rFont val="Arial"/>
        <family val="2"/>
      </rPr>
      <t>FFINPREV</t>
    </r>
  </si>
  <si>
    <t>35 - 0060 - 45.000479-9</t>
  </si>
  <si>
    <t>Soberano RF Simples   - 06.175.696/0001-74</t>
  </si>
  <si>
    <r>
      <t xml:space="preserve">AZQUEST </t>
    </r>
    <r>
      <rPr>
        <sz val="12"/>
        <color rgb="FF00B0F0"/>
        <rFont val="Arial"/>
        <family val="2"/>
      </rPr>
      <t>FFINPREV</t>
    </r>
  </si>
  <si>
    <t>do SMLL</t>
  </si>
  <si>
    <t>FIC FIA aÇÕES - 07.279.657/0001-89</t>
  </si>
  <si>
    <r>
      <t xml:space="preserve">XP Investimentos </t>
    </r>
    <r>
      <rPr>
        <sz val="10"/>
        <color rgb="FF00B0F0"/>
        <rFont val="Arial"/>
        <family val="2"/>
      </rPr>
      <t>FFPREV</t>
    </r>
  </si>
  <si>
    <t>XP Dividendos FIA - 16.575.255/00041-12</t>
  </si>
  <si>
    <t>do IDIV</t>
  </si>
  <si>
    <r>
      <t xml:space="preserve">Western Asset </t>
    </r>
    <r>
      <rPr>
        <sz val="12"/>
        <color rgb="FF00B0F0"/>
        <rFont val="Arial"/>
        <family val="2"/>
      </rPr>
      <t>FFINPREV</t>
    </r>
  </si>
  <si>
    <r>
      <t xml:space="preserve">Disponibilidade em Caixa </t>
    </r>
    <r>
      <rPr>
        <b/>
        <sz val="10"/>
        <color rgb="FF00B0F0"/>
        <rFont val="Arial"/>
        <family val="2"/>
      </rPr>
      <t>FFINPREV</t>
    </r>
  </si>
  <si>
    <r>
      <t xml:space="preserve">Bco do Brasil </t>
    </r>
    <r>
      <rPr>
        <sz val="12"/>
        <color rgb="FF00B0F0"/>
        <rFont val="Arial"/>
        <family val="2"/>
      </rPr>
      <t>FFINPREV</t>
    </r>
  </si>
  <si>
    <r>
      <t xml:space="preserve">Santander </t>
    </r>
    <r>
      <rPr>
        <sz val="12"/>
        <color rgb="FF00B0F0"/>
        <rFont val="Arial"/>
        <family val="2"/>
      </rPr>
      <t>FFPREV</t>
    </r>
  </si>
  <si>
    <t>Exercício 2009</t>
  </si>
  <si>
    <t>RENTABILIDADE FUPREM x META ATUARIAL (INPC + 6%)</t>
  </si>
  <si>
    <t>ENTIDADE</t>
  </si>
  <si>
    <t>Acumulado</t>
  </si>
  <si>
    <t>FUPREM</t>
  </si>
  <si>
    <t>META ATUARIAL (INPC+6%a.a.)</t>
  </si>
  <si>
    <r>
      <rPr>
        <b/>
        <sz val="11"/>
        <color indexed="30"/>
        <rFont val="Arial"/>
        <family val="2"/>
      </rPr>
      <t>SUPERÁVIT</t>
    </r>
    <r>
      <rPr>
        <b/>
        <sz val="11"/>
        <rFont val="Arial"/>
        <family val="2"/>
      </rPr>
      <t xml:space="preserve"> / </t>
    </r>
    <r>
      <rPr>
        <b/>
        <sz val="11"/>
        <color indexed="10"/>
        <rFont val="Arial"/>
        <family val="2"/>
      </rPr>
      <t>DÉFICIT MENSAL</t>
    </r>
  </si>
  <si>
    <t>Exercício 2010</t>
  </si>
  <si>
    <t>Exercício 2011</t>
  </si>
  <si>
    <t>RENTABILIDADE FUPREM/SBCPREV x META ATUARIAL (INPC + 6%)</t>
  </si>
  <si>
    <t>SBSCPREV</t>
  </si>
  <si>
    <t>FUPREM/SBCPREV</t>
  </si>
  <si>
    <t>da META</t>
  </si>
  <si>
    <t>Exercício 2012</t>
  </si>
  <si>
    <t>SBCPREV</t>
  </si>
  <si>
    <t>RENTABILIDADE SBCPREV x META ATUARIAL (INPC + 6%)</t>
  </si>
  <si>
    <t>Exercício 2013</t>
  </si>
  <si>
    <t>Últimos 12 meses</t>
  </si>
  <si>
    <t>Exercício 2014</t>
  </si>
  <si>
    <t>RENDA FIXA</t>
  </si>
  <si>
    <t>30% CDI + 70% IMA-B</t>
  </si>
  <si>
    <t>RENDA VARIÁVEL</t>
  </si>
  <si>
    <t>CONSOLIDADO</t>
  </si>
  <si>
    <t>INPC + 6% AO ANO</t>
  </si>
  <si>
    <t>Exercício 2015</t>
  </si>
  <si>
    <r>
      <rPr>
        <b/>
        <u/>
        <sz val="11"/>
        <rFont val="Arial"/>
        <family val="2"/>
      </rPr>
      <t>CONSOLIDADO -</t>
    </r>
    <r>
      <rPr>
        <sz val="11"/>
        <rFont val="Arial"/>
        <family val="2"/>
      </rPr>
      <t>RENTABILIDADE SBCPREV x META ATUARIAL (INPC + 6%)</t>
    </r>
  </si>
  <si>
    <t>Exercício 2016</t>
  </si>
  <si>
    <t>Exercício 2017</t>
  </si>
  <si>
    <t>-1,87% -0,78% -4,30% -11,31% 1,64% 3,68% 4,65% 3,66% -3,27% -1,86%</t>
  </si>
  <si>
    <t>Exercício 2018</t>
  </si>
  <si>
    <t>ANO</t>
  </si>
  <si>
    <t>META       SBCPREV     DIFER</t>
  </si>
  <si>
    <t xml:space="preserve">Renda variável </t>
  </si>
  <si>
    <t>12,49          11,18          -1,19</t>
  </si>
  <si>
    <t xml:space="preserve">12,7            22,41          +9,71       </t>
  </si>
  <si>
    <t>12,03         -6,03          -18,06</t>
  </si>
  <si>
    <t>12,75         10,45          -2,30</t>
  </si>
  <si>
    <t>Lim Resol</t>
  </si>
  <si>
    <t>Pol Inv</t>
  </si>
  <si>
    <t xml:space="preserve">17,81          9,54            -8,27               </t>
  </si>
  <si>
    <t>12,97          20,00          +7,03</t>
  </si>
  <si>
    <t>CEFederal</t>
  </si>
  <si>
    <t>Banco do Brasil</t>
  </si>
  <si>
    <t>Itaú</t>
  </si>
  <si>
    <t>AZQuest</t>
  </si>
  <si>
    <t>ARX Investimentos</t>
  </si>
  <si>
    <t>RBCapital</t>
  </si>
  <si>
    <t>Kinea/Itau</t>
  </si>
  <si>
    <t>Reag CEFederal</t>
  </si>
  <si>
    <t xml:space="preserve">Western </t>
  </si>
  <si>
    <t>XP Investimentos</t>
  </si>
  <si>
    <t>BTG</t>
  </si>
  <si>
    <t>BRZ</t>
  </si>
  <si>
    <t>TrendBank</t>
  </si>
  <si>
    <t>Saldo Caixa</t>
  </si>
  <si>
    <t xml:space="preserve">Títulos Públicos </t>
  </si>
  <si>
    <t>IMA-B5</t>
  </si>
  <si>
    <t>Alocação Dinâmica</t>
  </si>
  <si>
    <t>DI + Outros R Fixa</t>
  </si>
  <si>
    <t xml:space="preserve">RENDA VARIÁVEL </t>
  </si>
  <si>
    <r>
      <t>Artigo 7º, Inciso I,  Alinea "B"</t>
    </r>
    <r>
      <rPr>
        <b/>
        <sz val="8"/>
        <rFont val="Arial"/>
        <family val="2"/>
      </rPr>
      <t xml:space="preserve"> ( Fundos TP)</t>
    </r>
  </si>
  <si>
    <r>
      <t xml:space="preserve">Art. 7º, Inciso I, Alínea C </t>
    </r>
    <r>
      <rPr>
        <b/>
        <sz val="8"/>
        <rFont val="Arial"/>
        <family val="2"/>
      </rPr>
      <t>( Índice ETF )</t>
    </r>
  </si>
  <si>
    <r>
      <t xml:space="preserve">Art. 7º, Inciso II </t>
    </r>
    <r>
      <rPr>
        <b/>
        <sz val="8"/>
        <rFont val="Arial"/>
        <family val="2"/>
      </rPr>
      <t>( Op.Compromissadas )</t>
    </r>
  </si>
  <si>
    <r>
      <t>Artigo 7º, Inciso III "A"</t>
    </r>
    <r>
      <rPr>
        <b/>
        <sz val="8"/>
        <rFont val="Arial"/>
        <family val="2"/>
      </rPr>
      <t xml:space="preserve"> (Fundos Referenciados)</t>
    </r>
  </si>
  <si>
    <r>
      <t xml:space="preserve">Art. 7º, Inciso III,  Alínea "B" </t>
    </r>
    <r>
      <rPr>
        <b/>
        <sz val="8"/>
        <rFont val="Arial"/>
        <family val="2"/>
      </rPr>
      <t>( Índicies ETF Referenciados )</t>
    </r>
  </si>
  <si>
    <r>
      <t xml:space="preserve">Artigo 7º, Inciso IV "A" </t>
    </r>
    <r>
      <rPr>
        <b/>
        <sz val="8"/>
        <rFont val="Arial"/>
        <family val="2"/>
      </rPr>
      <t>( Fundos RF abertos )</t>
    </r>
  </si>
  <si>
    <r>
      <t xml:space="preserve">Art. 7º, Inciso IV, Alínea "B" </t>
    </r>
    <r>
      <rPr>
        <b/>
        <sz val="8"/>
        <rFont val="Arial"/>
        <family val="2"/>
      </rPr>
      <t xml:space="preserve"> ( Índicies ETF abertos )</t>
    </r>
  </si>
  <si>
    <r>
      <t xml:space="preserve">Art. 7º, Inciso V, Alínea "B" </t>
    </r>
    <r>
      <rPr>
        <b/>
        <sz val="8"/>
        <rFont val="Arial"/>
        <family val="2"/>
      </rPr>
      <t>( Letras Imobiliárias Garantidas )</t>
    </r>
  </si>
  <si>
    <r>
      <t xml:space="preserve">Art. 7º, Inciso VI, Alínea "A" </t>
    </r>
    <r>
      <rPr>
        <b/>
        <sz val="8"/>
        <rFont val="Arial"/>
        <family val="2"/>
      </rPr>
      <t>( CDB )</t>
    </r>
  </si>
  <si>
    <r>
      <t xml:space="preserve">Art. 7º, Inciso VI, Alínea "B" </t>
    </r>
    <r>
      <rPr>
        <b/>
        <sz val="8"/>
        <rFont val="Arial"/>
        <family val="2"/>
      </rPr>
      <t>( poupança )</t>
    </r>
  </si>
  <si>
    <r>
      <t xml:space="preserve">Art. 7º, Inciso VII, Alínea "A" </t>
    </r>
    <r>
      <rPr>
        <b/>
        <sz val="8"/>
        <rFont val="Arial"/>
        <family val="2"/>
      </rPr>
      <t>( FIDC cotas Sênior )</t>
    </r>
  </si>
  <si>
    <r>
      <t xml:space="preserve">Art. 7º, Inciso VII, Alínea "B" </t>
    </r>
    <r>
      <rPr>
        <b/>
        <sz val="8"/>
        <rFont val="Arial"/>
        <family val="2"/>
      </rPr>
      <t>( Fundos Crédito Privado )</t>
    </r>
  </si>
  <si>
    <r>
      <t xml:space="preserve">Art. 7º, Inciso VII, Alínea "C" </t>
    </r>
    <r>
      <rPr>
        <b/>
        <sz val="8"/>
        <rFont val="Arial"/>
        <family val="2"/>
      </rPr>
      <t>( Fundos Debêntures InfraEstrutura )</t>
    </r>
  </si>
  <si>
    <r>
      <t xml:space="preserve">Art. 8º, Inciso I, Alínea "B" </t>
    </r>
    <r>
      <rPr>
        <b/>
        <sz val="8"/>
        <rFont val="Arial"/>
        <family val="2"/>
      </rPr>
      <t>( Fundos ETF índices )</t>
    </r>
  </si>
  <si>
    <r>
      <t xml:space="preserve">Artigo 8º, Inciso I, Alínea "A" </t>
    </r>
    <r>
      <rPr>
        <b/>
        <sz val="8"/>
        <rFont val="Arial"/>
        <family val="2"/>
      </rPr>
      <t>( FIA abertos índices )</t>
    </r>
  </si>
  <si>
    <r>
      <t xml:space="preserve">Art. 8º, Inciso II, Alínea "A" </t>
    </r>
    <r>
      <rPr>
        <b/>
        <sz val="8"/>
        <rFont val="Arial"/>
        <family val="2"/>
      </rPr>
      <t>( FIA aberto carteira livre )</t>
    </r>
  </si>
  <si>
    <r>
      <t xml:space="preserve">Artigo 8º, Inciso II, Alínea "B" </t>
    </r>
    <r>
      <rPr>
        <b/>
        <sz val="8"/>
        <rFont val="Arial"/>
        <family val="2"/>
      </rPr>
      <t>( Fundos ETF carteira livre )</t>
    </r>
  </si>
  <si>
    <r>
      <t xml:space="preserve">Artigo 8º, Inciso III </t>
    </r>
    <r>
      <rPr>
        <b/>
        <sz val="8"/>
        <rFont val="Arial"/>
        <family val="2"/>
      </rPr>
      <t>( Fundos Multimercado )</t>
    </r>
  </si>
  <si>
    <r>
      <t xml:space="preserve">Artigo 8º, Inciso IV, Alínea "A" </t>
    </r>
    <r>
      <rPr>
        <b/>
        <sz val="8"/>
        <rFont val="Arial"/>
        <family val="2"/>
      </rPr>
      <t>( FIP fechado )</t>
    </r>
  </si>
  <si>
    <r>
      <t xml:space="preserve">Artigo 8º, Inciso IV, Alínea "B" </t>
    </r>
    <r>
      <rPr>
        <b/>
        <sz val="8"/>
        <rFont val="Arial"/>
        <family val="2"/>
      </rPr>
      <t>( FI Imobiliário )</t>
    </r>
  </si>
  <si>
    <r>
      <t xml:space="preserve">Artigo 7º, Inciso I,  Alinea "B"          </t>
    </r>
    <r>
      <rPr>
        <b/>
        <sz val="8"/>
        <rFont val="Arial"/>
        <family val="2"/>
      </rPr>
      <t xml:space="preserve"> ( 15% PL do FI )</t>
    </r>
  </si>
  <si>
    <r>
      <t xml:space="preserve">Art. 7º, Inciso I, Alínea C            </t>
    </r>
    <r>
      <rPr>
        <b/>
        <sz val="8"/>
        <rFont val="Arial"/>
        <family val="2"/>
      </rPr>
      <t xml:space="preserve">    ( 15% PL do FI )</t>
    </r>
  </si>
  <si>
    <r>
      <t xml:space="preserve">Art. 7º, Inciso II                                 </t>
    </r>
    <r>
      <rPr>
        <b/>
        <sz val="8"/>
        <rFont val="Arial"/>
        <family val="2"/>
      </rPr>
      <t xml:space="preserve"> ( 15% PL do FI )</t>
    </r>
  </si>
  <si>
    <r>
      <t xml:space="preserve">Art. 7º, Inciso III,  Alínea "B"                                              </t>
    </r>
    <r>
      <rPr>
        <b/>
        <sz val="8"/>
        <rFont val="Arial"/>
        <family val="2"/>
      </rPr>
      <t xml:space="preserve"> ( 15% PL do FI )</t>
    </r>
  </si>
  <si>
    <r>
      <t xml:space="preserve">Artigo 7º, Inciso IV "A"                                          </t>
    </r>
    <r>
      <rPr>
        <b/>
        <sz val="8"/>
        <rFont val="Arial"/>
        <family val="2"/>
      </rPr>
      <t xml:space="preserve"> ( 15% PL do FI )</t>
    </r>
  </si>
  <si>
    <r>
      <t xml:space="preserve">Art. 7º, Inciso IV, Alínea "B"                                                   </t>
    </r>
    <r>
      <rPr>
        <b/>
        <sz val="8"/>
        <rFont val="Arial"/>
        <family val="2"/>
      </rPr>
      <t xml:space="preserve"> ( 15% PL do FI )</t>
    </r>
  </si>
  <si>
    <r>
      <t xml:space="preserve">Art. 7º, Inciso VI, Alínea "A"                                </t>
    </r>
    <r>
      <rPr>
        <b/>
        <sz val="8"/>
        <rFont val="Arial"/>
        <family val="2"/>
      </rPr>
      <t xml:space="preserve"> Lim FGC(1.000,)</t>
    </r>
  </si>
  <si>
    <r>
      <t xml:space="preserve">Art. 7º, Inciso VI, Alínea "B"                                                       </t>
    </r>
    <r>
      <rPr>
        <b/>
        <sz val="8"/>
        <rFont val="Arial"/>
        <family val="2"/>
      </rPr>
      <t>Lim FGC(1.000,)</t>
    </r>
  </si>
  <si>
    <r>
      <t xml:space="preserve">Art. 7º, Inciso VII, Alínea "A"                                          </t>
    </r>
    <r>
      <rPr>
        <b/>
        <sz val="8"/>
        <rFont val="Arial"/>
        <family val="2"/>
      </rPr>
      <t xml:space="preserve"> 5% do PL cota sênior</t>
    </r>
  </si>
  <si>
    <r>
      <t xml:space="preserve">Art. 7º, Inciso VII, Alínea "B"                                         </t>
    </r>
    <r>
      <rPr>
        <b/>
        <sz val="8"/>
        <rFont val="Arial"/>
        <family val="2"/>
      </rPr>
      <t xml:space="preserve"> 5% do PL do FI    </t>
    </r>
  </si>
  <si>
    <r>
      <t xml:space="preserve">Art. 7º, Inciso VII, Alínea "C"                                               </t>
    </r>
    <r>
      <rPr>
        <b/>
        <sz val="8"/>
        <rFont val="Arial"/>
        <family val="2"/>
      </rPr>
      <t xml:space="preserve">5% do PL do FI    </t>
    </r>
  </si>
  <si>
    <r>
      <t xml:space="preserve">Artigo 8º, Inciso I, Alínea "A"                                      </t>
    </r>
    <r>
      <rPr>
        <b/>
        <sz val="8"/>
        <rFont val="Arial"/>
        <family val="2"/>
      </rPr>
      <t>15% do PL do Fundo</t>
    </r>
  </si>
  <si>
    <r>
      <t xml:space="preserve">Art. 8º, Inciso I, Alínea "B"                                                      </t>
    </r>
    <r>
      <rPr>
        <b/>
        <sz val="8"/>
        <rFont val="Arial"/>
        <family val="2"/>
      </rPr>
      <t xml:space="preserve"> 15% do PL do Fundo</t>
    </r>
  </si>
  <si>
    <r>
      <t xml:space="preserve">Art. 8º, Inciso II, Alínea "A"                                            </t>
    </r>
    <r>
      <rPr>
        <b/>
        <sz val="8"/>
        <rFont val="Arial"/>
        <family val="2"/>
      </rPr>
      <t xml:space="preserve"> 15% do PL do Fundo</t>
    </r>
  </si>
  <si>
    <r>
      <t xml:space="preserve">Artigo 8º, Inciso II, Alínea "B"                                                     </t>
    </r>
    <r>
      <rPr>
        <b/>
        <sz val="8"/>
        <rFont val="Arial"/>
        <family val="2"/>
      </rPr>
      <t>15% do PL do Fundo</t>
    </r>
  </si>
  <si>
    <r>
      <t xml:space="preserve">Artigo 8º, Inciso III                                               </t>
    </r>
    <r>
      <rPr>
        <b/>
        <sz val="8"/>
        <rFont val="Arial"/>
        <family val="2"/>
      </rPr>
      <t xml:space="preserve">  5% do PL do Fundo</t>
    </r>
  </si>
  <si>
    <r>
      <t xml:space="preserve">Artigo 8º, Inciso IV, Alínea "A"                                                 </t>
    </r>
    <r>
      <rPr>
        <b/>
        <sz val="8"/>
        <rFont val="Arial"/>
        <family val="2"/>
      </rPr>
      <t xml:space="preserve">  5% do PL do Fundo</t>
    </r>
  </si>
  <si>
    <r>
      <t xml:space="preserve">Artigo 8º, Inciso IV, Alínea "B"                                           </t>
    </r>
    <r>
      <rPr>
        <b/>
        <sz val="8"/>
        <rFont val="Arial"/>
        <family val="2"/>
      </rPr>
      <t xml:space="preserve">  5% do PL do Fundo</t>
    </r>
  </si>
  <si>
    <t>8,11            15,30          +7,19</t>
  </si>
  <si>
    <r>
      <t xml:space="preserve">Artigo 7º, Inciso I,  Alinea "A" </t>
    </r>
    <r>
      <rPr>
        <b/>
        <sz val="8"/>
        <rFont val="Arial"/>
        <family val="2"/>
      </rPr>
      <t>(TP Federal )</t>
    </r>
  </si>
  <si>
    <t>FIDC</t>
  </si>
  <si>
    <t>Consolidado -Ano</t>
  </si>
  <si>
    <t xml:space="preserve">Consolidado - 12 meses </t>
  </si>
  <si>
    <t>SBCPREV -  CONSOLIDADO - RELATÓRIO DE ENQUADRAMENTO PERANTE A RESOLUÇÃO 3.922 -   BASE: 28/02/2018</t>
  </si>
  <si>
    <t>WA FI Ações BDR Nível I - CNPJ: 19.831.126/0001-36</t>
  </si>
  <si>
    <t>S&amp;P500</t>
  </si>
  <si>
    <r>
      <t xml:space="preserve">Santander </t>
    </r>
    <r>
      <rPr>
        <sz val="12"/>
        <color rgb="FF00B0F0"/>
        <rFont val="Arial"/>
        <family val="2"/>
      </rPr>
      <t xml:space="preserve"> FFINPREV</t>
    </r>
  </si>
  <si>
    <t>SBCPREV -  CONSOLIDADO - RELATÓRIO DE ENQUADRAMENTO PERANTE A RESOLUÇÃO 3.922 -   BASE: 31/03/2018</t>
  </si>
  <si>
    <t>CONSOLIDADO EM MARÇO 2018</t>
  </si>
  <si>
    <t>CONSOLIDADO EM FEVEREIRO 2018</t>
  </si>
  <si>
    <t>CONSOLIDADO EM JANEIRO 2018</t>
  </si>
  <si>
    <t>XP Dividendos FIA - 16.575.255/0001-12</t>
  </si>
  <si>
    <t>SBCPREV -  CONSOLIDADO - RELATÓRIO DE ENQUADRAMENTO PERANTE A RESOLUÇÃO 3.922 -   BASE: 30/04/2018</t>
  </si>
  <si>
    <t>CONSOLIDADO EM Abril 2018</t>
  </si>
  <si>
    <t xml:space="preserve"> FI  IRF-M Títulos Públ. RF - 13.455.197/0001-03</t>
  </si>
  <si>
    <r>
      <t xml:space="preserve">Santander  </t>
    </r>
    <r>
      <rPr>
        <sz val="12"/>
        <color rgb="FF00B0F0"/>
        <rFont val="Arial"/>
        <family val="2"/>
      </rPr>
      <t>FFINPREV</t>
    </r>
  </si>
  <si>
    <t>Art. 7º, Inciso III, Alínea "A"                                  ( 15% PL do FI )</t>
  </si>
  <si>
    <t>Renda Fixa               Referenciado</t>
  </si>
  <si>
    <r>
      <t xml:space="preserve">Disponibilidade em Caixa </t>
    </r>
    <r>
      <rPr>
        <b/>
        <sz val="10"/>
        <color rgb="FF00B0F0"/>
        <rFont val="Arial"/>
        <family val="2"/>
      </rPr>
      <t>FFPREV</t>
    </r>
  </si>
  <si>
    <t>Rentabilidade  no mês SBCPREV  Consolidado</t>
  </si>
  <si>
    <t>SBCPREV -  CONSOLIDADO - RELATÓRIO DE ENQUADRAMENTO PERANTE A RESOLUÇÃO 3.922 -   BASE: 31/05/2018</t>
  </si>
  <si>
    <t>CONSOLIDADO EM Maio 2018</t>
  </si>
  <si>
    <t>WA IMAB5 Ativo FI Renda Fixa CNPJ 17.517.577/0001-78</t>
  </si>
  <si>
    <t>do IMA-B6</t>
  </si>
  <si>
    <t>FIP CNPJ 27.782.774/0001-78</t>
  </si>
  <si>
    <t>Kinea IV Feeder</t>
  </si>
  <si>
    <r>
      <t xml:space="preserve">Kinea IV Feeder </t>
    </r>
    <r>
      <rPr>
        <sz val="11"/>
        <color rgb="FF00B0F0"/>
        <rFont val="Arial"/>
        <family val="2"/>
      </rPr>
      <t>FFINPREV</t>
    </r>
  </si>
  <si>
    <t>Artigo 7º, Inciso IV "A"</t>
  </si>
  <si>
    <t>SBCPREV -  CONSOLIDADO - RELATÓRIO DE ENQUADRAMENTO PERANTE A RESOLUÇÃO 3.922 -   BASE: 30/06/2018</t>
  </si>
  <si>
    <t>CONSOLIDADO EM Junho 2018</t>
  </si>
  <si>
    <t>Instit Ações Phoenix FIA -23.731.629/0001-07</t>
  </si>
  <si>
    <t>D+21</t>
  </si>
  <si>
    <t>D+24</t>
  </si>
  <si>
    <r>
      <t xml:space="preserve">ITAÚ  </t>
    </r>
    <r>
      <rPr>
        <sz val="12"/>
        <color rgb="FF00B0F0"/>
        <rFont val="Arial"/>
        <family val="2"/>
      </rPr>
      <t>FFINPREV</t>
    </r>
  </si>
  <si>
    <t>SBCPREV -  CONSOLIDADO - RELATÓRIO DE ENQUADRAMENTO PERANTE A RESOLUÇÃO 3.922 -   BASE: 31/07/2018</t>
  </si>
  <si>
    <t>NTN-B (ipca) venc 15/05/2035 - 4.000</t>
  </si>
  <si>
    <t>IPCA + 5,688 % aa</t>
  </si>
  <si>
    <t>NTN-B (ipca) venc 15/05/2035 - 13.000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</si>
</sst>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.000000_);_(* \(#,##0.000000\);_(* &quot;-&quot;??_);_(@_)"/>
    <numFmt numFmtId="167" formatCode="#,##0.0000"/>
    <numFmt numFmtId="168" formatCode="_(* #,##0_);_(* \(#,##0\);_(* &quot;-&quot;??_);_(@_)"/>
    <numFmt numFmtId="169" formatCode="0.00000000"/>
    <numFmt numFmtId="170" formatCode="#,##0.00_ ;[Red]\-#,##0.00\ "/>
    <numFmt numFmtId="171" formatCode="#,##0.00000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b/>
      <sz val="9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Calibri"/>
      <family val="2"/>
      <scheme val="minor"/>
    </font>
    <font>
      <sz val="7"/>
      <name val="Arial"/>
      <family val="2"/>
    </font>
    <font>
      <b/>
      <sz val="9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7"/>
      <color rgb="FF0070C0"/>
      <name val="Arial"/>
      <family val="2"/>
    </font>
    <font>
      <sz val="8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2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rgb="FF00B0F0"/>
      <name val="Arial"/>
      <family val="2"/>
    </font>
    <font>
      <sz val="14"/>
      <name val="Arial"/>
      <family val="2"/>
    </font>
    <font>
      <sz val="12"/>
      <color rgb="FF00B0F0"/>
      <name val="Arial"/>
      <family val="2"/>
    </font>
    <font>
      <sz val="10"/>
      <color rgb="FF0070C0"/>
      <name val="Arial"/>
      <family val="2"/>
    </font>
    <font>
      <sz val="12"/>
      <color theme="3" tint="0.39997558519241921"/>
      <name val="Arial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  <font>
      <b/>
      <sz val="11"/>
      <color theme="0"/>
      <name val="Calibri"/>
      <family val="2"/>
      <scheme val="minor"/>
    </font>
    <font>
      <sz val="11"/>
      <name val="Arial"/>
      <family val="2"/>
    </font>
    <font>
      <b/>
      <sz val="14"/>
      <name val="Arial"/>
      <family val="2"/>
    </font>
    <font>
      <b/>
      <sz val="11"/>
      <color indexed="30"/>
      <name val="Arial"/>
      <family val="2"/>
    </font>
    <font>
      <b/>
      <sz val="11"/>
      <color indexed="10"/>
      <name val="Arial"/>
      <family val="2"/>
    </font>
    <font>
      <b/>
      <sz val="11"/>
      <color rgb="FF0070C0"/>
      <name val="Arial"/>
      <family val="2"/>
    </font>
    <font>
      <b/>
      <sz val="11"/>
      <color rgb="FFFF0000"/>
      <name val="Arial"/>
      <family val="2"/>
    </font>
    <font>
      <b/>
      <sz val="14"/>
      <color rgb="FF0070C0"/>
      <name val="Arial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  <font>
      <b/>
      <sz val="5"/>
      <name val="Arial"/>
      <family val="2"/>
    </font>
    <font>
      <b/>
      <sz val="11"/>
      <color theme="4"/>
      <name val="Arial"/>
      <family val="2"/>
    </font>
    <font>
      <b/>
      <sz val="11"/>
      <color theme="4" tint="-0.249977111117893"/>
      <name val="Arial"/>
      <family val="2"/>
    </font>
    <font>
      <b/>
      <i/>
      <sz val="11"/>
      <color theme="0"/>
      <name val="Calibri"/>
      <family val="2"/>
    </font>
    <font>
      <sz val="11"/>
      <name val="Calibri"/>
      <family val="2"/>
    </font>
    <font>
      <b/>
      <u/>
      <sz val="11"/>
      <name val="Arial"/>
      <family val="2"/>
    </font>
    <font>
      <b/>
      <sz val="11"/>
      <color theme="3" tint="0.39997558519241921"/>
      <name val="Arial"/>
      <family val="2"/>
    </font>
    <font>
      <b/>
      <sz val="11"/>
      <color rgb="FF00B0F0"/>
      <name val="Arial"/>
      <family val="2"/>
    </font>
    <font>
      <b/>
      <u/>
      <sz val="10"/>
      <color theme="1"/>
      <name val="Calibri"/>
      <family val="2"/>
      <scheme val="minor"/>
    </font>
    <font>
      <sz val="10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Arial"/>
      <family val="2"/>
    </font>
    <font>
      <sz val="10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8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10" fontId="3" fillId="0" borderId="2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vertical="center" wrapText="1"/>
    </xf>
    <xf numFmtId="0" fontId="0" fillId="0" borderId="0" xfId="0" applyBorder="1"/>
    <xf numFmtId="0" fontId="0" fillId="0" borderId="0" xfId="0" applyFill="1" applyAlignment="1">
      <alignment horizont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10" fontId="5" fillId="0" borderId="3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6" xfId="0" applyFill="1" applyBorder="1" applyAlignment="1"/>
    <xf numFmtId="0" fontId="0" fillId="0" borderId="10" xfId="0" applyFill="1" applyBorder="1" applyAlignment="1"/>
    <xf numFmtId="0" fontId="6" fillId="0" borderId="7" xfId="0" applyFont="1" applyFill="1" applyBorder="1" applyAlignment="1">
      <alignment horizontal="center" vertical="center"/>
    </xf>
    <xf numFmtId="10" fontId="6" fillId="0" borderId="1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horizontal="right"/>
    </xf>
    <xf numFmtId="10" fontId="10" fillId="0" borderId="14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4" fontId="11" fillId="0" borderId="0" xfId="0" applyNumberFormat="1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0" fontId="13" fillId="0" borderId="2" xfId="2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right"/>
    </xf>
    <xf numFmtId="10" fontId="6" fillId="0" borderId="3" xfId="0" applyNumberFormat="1" applyFont="1" applyFill="1" applyBorder="1" applyAlignment="1">
      <alignment horizontal="center" vertical="center"/>
    </xf>
    <xf numFmtId="165" fontId="13" fillId="0" borderId="15" xfId="2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/>
    </xf>
    <xf numFmtId="0" fontId="12" fillId="0" borderId="0" xfId="0" applyFont="1" applyFill="1"/>
    <xf numFmtId="0" fontId="14" fillId="0" borderId="18" xfId="0" applyFont="1" applyFill="1" applyBorder="1"/>
    <xf numFmtId="0" fontId="15" fillId="0" borderId="19" xfId="0" applyFont="1" applyFill="1" applyBorder="1"/>
    <xf numFmtId="0" fontId="16" fillId="0" borderId="19" xfId="0" applyFont="1" applyFill="1" applyBorder="1"/>
    <xf numFmtId="0" fontId="16" fillId="0" borderId="20" xfId="0" applyFont="1" applyFill="1" applyBorder="1"/>
    <xf numFmtId="10" fontId="13" fillId="0" borderId="22" xfId="2" applyNumberFormat="1" applyFont="1" applyFill="1" applyBorder="1" applyAlignment="1">
      <alignment horizontal="center"/>
    </xf>
    <xf numFmtId="165" fontId="6" fillId="0" borderId="22" xfId="2" applyNumberFormat="1" applyFont="1" applyFill="1" applyBorder="1" applyAlignment="1"/>
    <xf numFmtId="165" fontId="6" fillId="0" borderId="24" xfId="2" applyNumberFormat="1" applyFont="1" applyFill="1" applyBorder="1" applyAlignment="1"/>
    <xf numFmtId="3" fontId="17" fillId="0" borderId="25" xfId="1" applyNumberFormat="1" applyFont="1" applyFill="1" applyBorder="1" applyAlignment="1">
      <alignment horizontal="right"/>
    </xf>
    <xf numFmtId="10" fontId="13" fillId="0" borderId="26" xfId="1" applyNumberFormat="1" applyFont="1" applyFill="1" applyBorder="1" applyAlignment="1"/>
    <xf numFmtId="166" fontId="18" fillId="0" borderId="0" xfId="1" applyNumberFormat="1" applyFont="1" applyFill="1" applyBorder="1" applyAlignment="1">
      <alignment horizontal="right"/>
    </xf>
    <xf numFmtId="166" fontId="18" fillId="0" borderId="0" xfId="0" applyNumberFormat="1" applyFont="1" applyFill="1" applyBorder="1" applyAlignment="1">
      <alignment horizontal="right"/>
    </xf>
    <xf numFmtId="166" fontId="18" fillId="0" borderId="0" xfId="1" applyNumberFormat="1" applyFont="1" applyFill="1" applyAlignment="1">
      <alignment horizontal="right"/>
    </xf>
    <xf numFmtId="0" fontId="14" fillId="0" borderId="30" xfId="0" applyFont="1" applyFill="1" applyBorder="1"/>
    <xf numFmtId="0" fontId="15" fillId="0" borderId="31" xfId="0" applyFont="1" applyFill="1" applyBorder="1"/>
    <xf numFmtId="0" fontId="16" fillId="0" borderId="21" xfId="0" applyFont="1" applyFill="1" applyBorder="1"/>
    <xf numFmtId="0" fontId="16" fillId="0" borderId="32" xfId="0" applyFont="1" applyFill="1" applyBorder="1"/>
    <xf numFmtId="10" fontId="13" fillId="0" borderId="33" xfId="2" applyNumberFormat="1" applyFont="1" applyFill="1" applyBorder="1" applyAlignment="1">
      <alignment horizontal="center"/>
    </xf>
    <xf numFmtId="10" fontId="13" fillId="0" borderId="34" xfId="2" applyNumberFormat="1" applyFont="1" applyFill="1" applyBorder="1" applyAlignment="1">
      <alignment horizontal="center"/>
    </xf>
    <xf numFmtId="165" fontId="6" fillId="0" borderId="25" xfId="2" applyNumberFormat="1" applyFont="1" applyFill="1" applyBorder="1" applyAlignment="1"/>
    <xf numFmtId="165" fontId="6" fillId="0" borderId="0" xfId="2" applyNumberFormat="1" applyFont="1" applyFill="1" applyBorder="1" applyAlignment="1"/>
    <xf numFmtId="165" fontId="6" fillId="0" borderId="35" xfId="2" applyNumberFormat="1" applyFont="1" applyFill="1" applyBorder="1" applyAlignment="1"/>
    <xf numFmtId="3" fontId="17" fillId="0" borderId="36" xfId="1" applyNumberFormat="1" applyFont="1" applyFill="1" applyBorder="1" applyAlignment="1">
      <alignment horizontal="right"/>
    </xf>
    <xf numFmtId="10" fontId="13" fillId="0" borderId="0" xfId="1" applyNumberFormat="1" applyFont="1" applyFill="1" applyBorder="1" applyAlignment="1"/>
    <xf numFmtId="0" fontId="16" fillId="0" borderId="38" xfId="0" applyFont="1" applyFill="1" applyBorder="1"/>
    <xf numFmtId="10" fontId="13" fillId="0" borderId="39" xfId="2" applyNumberFormat="1" applyFont="1" applyFill="1" applyBorder="1" applyAlignment="1">
      <alignment horizontal="center"/>
    </xf>
    <xf numFmtId="165" fontId="6" fillId="0" borderId="26" xfId="2" applyNumberFormat="1" applyFont="1" applyFill="1" applyBorder="1" applyAlignment="1"/>
    <xf numFmtId="167" fontId="6" fillId="2" borderId="40" xfId="2" applyNumberFormat="1" applyFont="1" applyFill="1" applyBorder="1" applyAlignment="1"/>
    <xf numFmtId="3" fontId="17" fillId="0" borderId="41" xfId="1" applyNumberFormat="1" applyFont="1" applyFill="1" applyBorder="1" applyAlignment="1">
      <alignment horizontal="right"/>
    </xf>
    <xf numFmtId="10" fontId="13" fillId="0" borderId="42" xfId="1" applyNumberFormat="1" applyFont="1" applyFill="1" applyBorder="1" applyAlignment="1"/>
    <xf numFmtId="0" fontId="16" fillId="0" borderId="43" xfId="0" applyFont="1" applyFill="1" applyBorder="1"/>
    <xf numFmtId="165" fontId="6" fillId="0" borderId="36" xfId="2" applyNumberFormat="1" applyFont="1" applyFill="1" applyBorder="1" applyAlignment="1"/>
    <xf numFmtId="165" fontId="6" fillId="0" borderId="40" xfId="2" applyNumberFormat="1" applyFont="1" applyFill="1" applyBorder="1" applyAlignment="1"/>
    <xf numFmtId="10" fontId="13" fillId="0" borderId="24" xfId="1" applyNumberFormat="1" applyFont="1" applyFill="1" applyBorder="1" applyAlignment="1"/>
    <xf numFmtId="0" fontId="16" fillId="0" borderId="10" xfId="0" applyFont="1" applyFill="1" applyBorder="1"/>
    <xf numFmtId="0" fontId="16" fillId="0" borderId="31" xfId="0" applyFont="1" applyFill="1" applyBorder="1"/>
    <xf numFmtId="10" fontId="13" fillId="0" borderId="45" xfId="2" applyNumberFormat="1" applyFont="1" applyFill="1" applyBorder="1" applyAlignment="1">
      <alignment horizontal="center"/>
    </xf>
    <xf numFmtId="166" fontId="18" fillId="0" borderId="0" xfId="0" applyNumberFormat="1" applyFont="1" applyFill="1" applyAlignment="1">
      <alignment horizontal="right"/>
    </xf>
    <xf numFmtId="0" fontId="13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right"/>
    </xf>
    <xf numFmtId="10" fontId="13" fillId="0" borderId="0" xfId="0" applyNumberFormat="1" applyFont="1" applyFill="1" applyBorder="1" applyAlignment="1">
      <alignment horizontal="center" vertical="center"/>
    </xf>
    <xf numFmtId="9" fontId="6" fillId="0" borderId="2" xfId="0" applyNumberFormat="1" applyFont="1" applyFill="1" applyBorder="1" applyAlignment="1">
      <alignment horizontal="center" vertical="center"/>
    </xf>
    <xf numFmtId="9" fontId="6" fillId="0" borderId="8" xfId="0" applyNumberFormat="1" applyFont="1" applyFill="1" applyBorder="1" applyAlignment="1">
      <alignment horizontal="center" vertical="center"/>
    </xf>
    <xf numFmtId="0" fontId="14" fillId="0" borderId="51" xfId="0" applyFont="1" applyFill="1" applyBorder="1"/>
    <xf numFmtId="0" fontId="15" fillId="0" borderId="52" xfId="0" applyFont="1" applyFill="1" applyBorder="1"/>
    <xf numFmtId="0" fontId="16" fillId="0" borderId="5" xfId="0" applyFont="1" applyFill="1" applyBorder="1"/>
    <xf numFmtId="0" fontId="10" fillId="0" borderId="53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/>
    </xf>
    <xf numFmtId="10" fontId="13" fillId="0" borderId="55" xfId="2" applyNumberFormat="1" applyFont="1" applyFill="1" applyBorder="1" applyAlignment="1">
      <alignment horizontal="center"/>
    </xf>
    <xf numFmtId="10" fontId="13" fillId="0" borderId="57" xfId="2" applyNumberFormat="1" applyFont="1" applyFill="1" applyBorder="1" applyAlignment="1">
      <alignment horizontal="center"/>
    </xf>
    <xf numFmtId="10" fontId="19" fillId="0" borderId="58" xfId="2" applyNumberFormat="1" applyFont="1" applyFill="1" applyBorder="1" applyAlignment="1">
      <alignment horizontal="center"/>
    </xf>
    <xf numFmtId="165" fontId="6" fillId="0" borderId="59" xfId="2" applyNumberFormat="1" applyFont="1" applyFill="1" applyBorder="1" applyAlignment="1">
      <alignment horizontal="left"/>
    </xf>
    <xf numFmtId="10" fontId="13" fillId="0" borderId="60" xfId="2" applyNumberFormat="1" applyFont="1" applyFill="1" applyBorder="1" applyAlignment="1">
      <alignment horizontal="center"/>
    </xf>
    <xf numFmtId="0" fontId="14" fillId="0" borderId="62" xfId="0" applyFont="1" applyFill="1" applyBorder="1"/>
    <xf numFmtId="0" fontId="15" fillId="0" borderId="10" xfId="0" applyFont="1" applyFill="1" applyBorder="1"/>
    <xf numFmtId="0" fontId="10" fillId="0" borderId="20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10" fontId="13" fillId="0" borderId="64" xfId="2" applyNumberFormat="1" applyFont="1" applyFill="1" applyBorder="1" applyAlignment="1">
      <alignment horizontal="center"/>
    </xf>
    <xf numFmtId="10" fontId="19" fillId="0" borderId="65" xfId="2" applyNumberFormat="1" applyFont="1" applyFill="1" applyBorder="1" applyAlignment="1">
      <alignment horizontal="center"/>
    </xf>
    <xf numFmtId="165" fontId="6" fillId="0" borderId="35" xfId="2" applyNumberFormat="1" applyFont="1" applyFill="1" applyBorder="1" applyAlignment="1">
      <alignment horizontal="left"/>
    </xf>
    <xf numFmtId="10" fontId="13" fillId="0" borderId="66" xfId="2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10" fontId="13" fillId="0" borderId="0" xfId="2" applyNumberFormat="1" applyFont="1" applyFill="1" applyBorder="1" applyAlignment="1">
      <alignment horizontal="center"/>
    </xf>
    <xf numFmtId="10" fontId="13" fillId="0" borderId="67" xfId="2" applyNumberFormat="1" applyFont="1" applyFill="1" applyBorder="1" applyAlignment="1">
      <alignment horizontal="center"/>
    </xf>
    <xf numFmtId="165" fontId="6" fillId="0" borderId="40" xfId="2" applyNumberFormat="1" applyFont="1" applyFill="1" applyBorder="1" applyAlignment="1">
      <alignment horizontal="left"/>
    </xf>
    <xf numFmtId="10" fontId="13" fillId="0" borderId="68" xfId="2" applyNumberFormat="1" applyFont="1" applyFill="1" applyBorder="1" applyAlignment="1">
      <alignment horizontal="center"/>
    </xf>
    <xf numFmtId="0" fontId="14" fillId="0" borderId="69" xfId="0" applyFont="1" applyFill="1" applyBorder="1"/>
    <xf numFmtId="10" fontId="16" fillId="0" borderId="70" xfId="2" applyNumberFormat="1" applyFont="1" applyFill="1" applyBorder="1" applyAlignment="1">
      <alignment horizontal="center"/>
    </xf>
    <xf numFmtId="10" fontId="20" fillId="0" borderId="71" xfId="2" applyNumberFormat="1" applyFont="1" applyFill="1" applyBorder="1" applyAlignment="1">
      <alignment horizontal="center"/>
    </xf>
    <xf numFmtId="165" fontId="16" fillId="0" borderId="72" xfId="2" applyNumberFormat="1" applyFont="1" applyFill="1" applyBorder="1" applyAlignment="1">
      <alignment horizontal="left"/>
    </xf>
    <xf numFmtId="0" fontId="10" fillId="0" borderId="74" xfId="0" applyFont="1" applyFill="1" applyBorder="1" applyAlignment="1">
      <alignment horizontal="center"/>
    </xf>
    <xf numFmtId="10" fontId="13" fillId="0" borderId="75" xfId="2" applyNumberFormat="1" applyFont="1" applyFill="1" applyBorder="1" applyAlignment="1">
      <alignment horizontal="center"/>
    </xf>
    <xf numFmtId="10" fontId="19" fillId="0" borderId="71" xfId="2" applyNumberFormat="1" applyFont="1" applyFill="1" applyBorder="1" applyAlignment="1">
      <alignment horizontal="center"/>
    </xf>
    <xf numFmtId="165" fontId="6" fillId="0" borderId="72" xfId="2" applyNumberFormat="1" applyFont="1" applyFill="1" applyBorder="1" applyAlignment="1">
      <alignment horizontal="left"/>
    </xf>
    <xf numFmtId="10" fontId="13" fillId="0" borderId="76" xfId="2" applyNumberFormat="1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3" fontId="17" fillId="0" borderId="2" xfId="0" applyNumberFormat="1" applyFont="1" applyFill="1" applyBorder="1" applyAlignment="1">
      <alignment horizontal="right"/>
    </xf>
    <xf numFmtId="10" fontId="13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0" fontId="16" fillId="0" borderId="52" xfId="0" applyFont="1" applyFill="1" applyBorder="1"/>
    <xf numFmtId="10" fontId="13" fillId="0" borderId="80" xfId="2" applyNumberFormat="1" applyFont="1" applyFill="1" applyBorder="1" applyAlignment="1">
      <alignment horizontal="center"/>
    </xf>
    <xf numFmtId="0" fontId="15" fillId="0" borderId="21" xfId="0" applyFont="1" applyFill="1" applyBorder="1"/>
    <xf numFmtId="0" fontId="6" fillId="0" borderId="21" xfId="0" applyFont="1" applyFill="1" applyBorder="1"/>
    <xf numFmtId="10" fontId="13" fillId="0" borderId="82" xfId="2" applyNumberFormat="1" applyFont="1" applyFill="1" applyBorder="1" applyAlignment="1">
      <alignment horizontal="center"/>
    </xf>
    <xf numFmtId="164" fontId="16" fillId="0" borderId="0" xfId="1" applyNumberFormat="1" applyFont="1" applyFill="1" applyBorder="1"/>
    <xf numFmtId="0" fontId="8" fillId="0" borderId="8" xfId="0" applyFont="1" applyFill="1" applyBorder="1" applyAlignment="1">
      <alignment horizontal="center" vertical="center"/>
    </xf>
    <xf numFmtId="10" fontId="13" fillId="0" borderId="74" xfId="2" applyNumberFormat="1" applyFont="1" applyFill="1" applyBorder="1" applyAlignment="1">
      <alignment horizontal="center"/>
    </xf>
    <xf numFmtId="10" fontId="13" fillId="0" borderId="27" xfId="2" applyNumberFormat="1" applyFont="1" applyFill="1" applyBorder="1" applyAlignment="1">
      <alignment horizontal="center"/>
    </xf>
    <xf numFmtId="10" fontId="13" fillId="0" borderId="83" xfId="2" applyNumberFormat="1" applyFont="1" applyFill="1" applyBorder="1" applyAlignment="1">
      <alignment horizontal="center"/>
    </xf>
    <xf numFmtId="10" fontId="19" fillId="0" borderId="84" xfId="2" applyNumberFormat="1" applyFont="1" applyFill="1" applyBorder="1" applyAlignment="1">
      <alignment horizontal="center"/>
    </xf>
    <xf numFmtId="165" fontId="6" fillId="0" borderId="85" xfId="2" applyNumberFormat="1" applyFont="1" applyFill="1" applyBorder="1" applyAlignment="1">
      <alignment horizontal="left"/>
    </xf>
    <xf numFmtId="10" fontId="13" fillId="0" borderId="87" xfId="2" applyNumberFormat="1" applyFont="1" applyFill="1" applyBorder="1" applyAlignment="1">
      <alignment horizontal="center"/>
    </xf>
    <xf numFmtId="10" fontId="19" fillId="0" borderId="81" xfId="2" applyNumberFormat="1" applyFont="1" applyFill="1" applyBorder="1" applyAlignment="1">
      <alignment horizontal="center"/>
    </xf>
    <xf numFmtId="0" fontId="14" fillId="0" borderId="36" xfId="0" applyFont="1" applyFill="1" applyBorder="1"/>
    <xf numFmtId="0" fontId="15" fillId="0" borderId="88" xfId="0" applyFont="1" applyFill="1" applyBorder="1"/>
    <xf numFmtId="0" fontId="16" fillId="0" borderId="0" xfId="0" applyFont="1" applyFill="1" applyBorder="1"/>
    <xf numFmtId="10" fontId="13" fillId="0" borderId="41" xfId="2" applyNumberFormat="1" applyFont="1" applyFill="1" applyBorder="1" applyAlignment="1">
      <alignment horizontal="center"/>
    </xf>
    <xf numFmtId="10" fontId="19" fillId="0" borderId="42" xfId="2" applyNumberFormat="1" applyFont="1" applyFill="1" applyBorder="1" applyAlignment="1">
      <alignment horizontal="center"/>
    </xf>
    <xf numFmtId="3" fontId="17" fillId="0" borderId="0" xfId="1" applyNumberFormat="1" applyFont="1" applyFill="1" applyBorder="1" applyAlignment="1">
      <alignment horizontal="right"/>
    </xf>
    <xf numFmtId="0" fontId="15" fillId="0" borderId="89" xfId="0" applyFont="1" applyFill="1" applyBorder="1"/>
    <xf numFmtId="0" fontId="10" fillId="0" borderId="90" xfId="0" applyFont="1" applyFill="1" applyBorder="1" applyAlignment="1">
      <alignment horizontal="center"/>
    </xf>
    <xf numFmtId="10" fontId="13" fillId="0" borderId="47" xfId="2" applyNumberFormat="1" applyFont="1" applyFill="1" applyBorder="1" applyAlignment="1">
      <alignment horizontal="center"/>
    </xf>
    <xf numFmtId="10" fontId="13" fillId="0" borderId="13" xfId="2" applyNumberFormat="1" applyFont="1" applyFill="1" applyBorder="1" applyAlignment="1">
      <alignment horizontal="center"/>
    </xf>
    <xf numFmtId="10" fontId="19" fillId="0" borderId="46" xfId="2" applyNumberFormat="1" applyFont="1" applyFill="1" applyBorder="1" applyAlignment="1">
      <alignment horizontal="center"/>
    </xf>
    <xf numFmtId="165" fontId="6" fillId="0" borderId="47" xfId="2" applyNumberFormat="1" applyFont="1" applyFill="1" applyBorder="1" applyAlignment="1">
      <alignment horizontal="left"/>
    </xf>
    <xf numFmtId="3" fontId="17" fillId="0" borderId="46" xfId="1" applyNumberFormat="1" applyFont="1" applyFill="1" applyBorder="1" applyAlignment="1">
      <alignment horizontal="right"/>
    </xf>
    <xf numFmtId="10" fontId="13" fillId="0" borderId="91" xfId="2" applyNumberFormat="1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 vertical="center"/>
    </xf>
    <xf numFmtId="3" fontId="17" fillId="0" borderId="46" xfId="0" applyNumberFormat="1" applyFont="1" applyFill="1" applyBorder="1" applyAlignment="1">
      <alignment horizontal="right"/>
    </xf>
    <xf numFmtId="10" fontId="13" fillId="0" borderId="46" xfId="0" applyNumberFormat="1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/>
    </xf>
    <xf numFmtId="0" fontId="14" fillId="0" borderId="9" xfId="0" applyFont="1" applyFill="1" applyBorder="1"/>
    <xf numFmtId="0" fontId="10" fillId="0" borderId="78" xfId="0" applyFont="1" applyFill="1" applyBorder="1" applyAlignment="1">
      <alignment horizontal="center"/>
    </xf>
    <xf numFmtId="10" fontId="13" fillId="0" borderId="92" xfId="2" applyNumberFormat="1" applyFont="1" applyFill="1" applyBorder="1" applyAlignment="1">
      <alignment horizontal="center"/>
    </xf>
    <xf numFmtId="3" fontId="17" fillId="0" borderId="13" xfId="1" applyNumberFormat="1" applyFont="1" applyFill="1" applyBorder="1" applyAlignment="1">
      <alignment horizontal="right"/>
    </xf>
    <xf numFmtId="10" fontId="13" fillId="0" borderId="94" xfId="2" applyNumberFormat="1" applyFont="1" applyFill="1" applyBorder="1" applyAlignment="1">
      <alignment horizontal="center"/>
    </xf>
    <xf numFmtId="9" fontId="6" fillId="0" borderId="7" xfId="0" applyNumberFormat="1" applyFont="1" applyFill="1" applyBorder="1" applyAlignment="1">
      <alignment horizontal="center" vertical="center"/>
    </xf>
    <xf numFmtId="9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0" fontId="19" fillId="0" borderId="95" xfId="2" applyNumberFormat="1" applyFont="1" applyFill="1" applyBorder="1" applyAlignment="1">
      <alignment horizontal="center"/>
    </xf>
    <xf numFmtId="43" fontId="8" fillId="0" borderId="2" xfId="0" applyNumberFormat="1" applyFont="1" applyFill="1" applyBorder="1" applyAlignment="1">
      <alignment horizontal="center"/>
    </xf>
    <xf numFmtId="0" fontId="14" fillId="0" borderId="18" xfId="0" applyFont="1" applyFill="1" applyBorder="1" applyAlignment="1"/>
    <xf numFmtId="0" fontId="15" fillId="0" borderId="37" xfId="0" applyFont="1" applyFill="1" applyBorder="1" applyAlignment="1"/>
    <xf numFmtId="0" fontId="16" fillId="0" borderId="37" xfId="0" applyFont="1" applyFill="1" applyBorder="1"/>
    <xf numFmtId="0" fontId="10" fillId="0" borderId="32" xfId="0" applyFont="1" applyFill="1" applyBorder="1" applyAlignment="1">
      <alignment horizontal="center"/>
    </xf>
    <xf numFmtId="10" fontId="13" fillId="0" borderId="36" xfId="2" applyNumberFormat="1" applyFont="1" applyFill="1" applyBorder="1" applyAlignment="1">
      <alignment horizontal="center"/>
    </xf>
    <xf numFmtId="166" fontId="22" fillId="0" borderId="0" xfId="0" applyNumberFormat="1" applyFont="1" applyFill="1" applyAlignment="1">
      <alignment horizontal="right"/>
    </xf>
    <xf numFmtId="10" fontId="19" fillId="0" borderId="97" xfId="2" applyNumberFormat="1" applyFont="1" applyFill="1" applyBorder="1" applyAlignment="1">
      <alignment horizontal="center"/>
    </xf>
    <xf numFmtId="0" fontId="16" fillId="0" borderId="21" xfId="0" applyFont="1" applyFill="1" applyBorder="1" applyAlignment="1"/>
    <xf numFmtId="0" fontId="0" fillId="0" borderId="0" xfId="0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10" fontId="13" fillId="0" borderId="3" xfId="2" applyNumberFormat="1" applyFont="1" applyFill="1" applyBorder="1" applyAlignment="1">
      <alignment horizontal="center"/>
    </xf>
    <xf numFmtId="0" fontId="14" fillId="0" borderId="30" xfId="0" applyFont="1" applyFill="1" applyBorder="1" applyAlignment="1"/>
    <xf numFmtId="0" fontId="16" fillId="0" borderId="43" xfId="0" applyFont="1" applyFill="1" applyBorder="1" applyAlignment="1"/>
    <xf numFmtId="0" fontId="10" fillId="0" borderId="43" xfId="0" applyFont="1" applyFill="1" applyBorder="1" applyAlignment="1">
      <alignment horizontal="center"/>
    </xf>
    <xf numFmtId="10" fontId="13" fillId="0" borderId="38" xfId="2" applyNumberFormat="1" applyFont="1" applyFill="1" applyBorder="1" applyAlignment="1">
      <alignment horizontal="center"/>
    </xf>
    <xf numFmtId="10" fontId="19" fillId="0" borderId="11" xfId="2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10" fontId="6" fillId="0" borderId="6" xfId="0" applyNumberFormat="1" applyFont="1" applyFill="1" applyBorder="1" applyAlignment="1">
      <alignment horizontal="center"/>
    </xf>
    <xf numFmtId="9" fontId="6" fillId="0" borderId="99" xfId="0" applyNumberFormat="1" applyFont="1" applyFill="1" applyBorder="1" applyAlignment="1">
      <alignment horizontal="center"/>
    </xf>
    <xf numFmtId="9" fontId="6" fillId="0" borderId="6" xfId="0" applyNumberFormat="1" applyFont="1" applyFill="1" applyBorder="1" applyAlignment="1">
      <alignment horizontal="center"/>
    </xf>
    <xf numFmtId="0" fontId="15" fillId="0" borderId="37" xfId="0" applyFont="1" applyFill="1" applyBorder="1"/>
    <xf numFmtId="10" fontId="19" fillId="0" borderId="0" xfId="2" applyNumberFormat="1" applyFont="1" applyFill="1" applyBorder="1" applyAlignment="1">
      <alignment horizontal="center"/>
    </xf>
    <xf numFmtId="10" fontId="13" fillId="0" borderId="100" xfId="2" applyNumberFormat="1" applyFont="1" applyFill="1" applyBorder="1" applyAlignment="1">
      <alignment horizontal="center"/>
    </xf>
    <xf numFmtId="10" fontId="13" fillId="0" borderId="96" xfId="2" applyNumberFormat="1" applyFont="1" applyFill="1" applyBorder="1" applyAlignment="1">
      <alignment horizontal="center"/>
    </xf>
    <xf numFmtId="10" fontId="19" fillId="0" borderId="101" xfId="2" applyNumberFormat="1" applyFont="1" applyFill="1" applyBorder="1" applyAlignment="1">
      <alignment horizontal="center"/>
    </xf>
    <xf numFmtId="165" fontId="6" fillId="0" borderId="68" xfId="2" applyNumberFormat="1" applyFont="1" applyFill="1" applyBorder="1" applyAlignment="1">
      <alignment horizontal="left"/>
    </xf>
    <xf numFmtId="164" fontId="13" fillId="0" borderId="102" xfId="1" applyNumberFormat="1" applyFont="1" applyFill="1" applyBorder="1" applyAlignment="1"/>
    <xf numFmtId="10" fontId="13" fillId="0" borderId="103" xfId="2" applyNumberFormat="1" applyFont="1" applyFill="1" applyBorder="1" applyAlignment="1">
      <alignment horizontal="center"/>
    </xf>
    <xf numFmtId="164" fontId="13" fillId="0" borderId="77" xfId="1" applyNumberFormat="1" applyFont="1" applyFill="1" applyBorder="1"/>
    <xf numFmtId="10" fontId="21" fillId="0" borderId="22" xfId="2" applyNumberFormat="1" applyFont="1" applyFill="1" applyBorder="1" applyAlignment="1">
      <alignment horizontal="center"/>
    </xf>
    <xf numFmtId="10" fontId="13" fillId="0" borderId="104" xfId="2" applyNumberFormat="1" applyFont="1" applyFill="1" applyBorder="1" applyAlignment="1">
      <alignment horizontal="center"/>
    </xf>
    <xf numFmtId="10" fontId="19" fillId="0" borderId="93" xfId="2" applyNumberFormat="1" applyFont="1" applyFill="1" applyBorder="1" applyAlignment="1">
      <alignment horizontal="center"/>
    </xf>
    <xf numFmtId="0" fontId="14" fillId="0" borderId="18" xfId="0" applyFont="1" applyFill="1" applyBorder="1" applyAlignment="1">
      <alignment horizontal="left"/>
    </xf>
    <xf numFmtId="0" fontId="16" fillId="0" borderId="37" xfId="0" applyFont="1" applyFill="1" applyBorder="1" applyAlignment="1"/>
    <xf numFmtId="165" fontId="13" fillId="0" borderId="24" xfId="2" applyNumberFormat="1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10" fontId="13" fillId="0" borderId="106" xfId="2" applyNumberFormat="1" applyFont="1" applyFill="1" applyBorder="1" applyAlignment="1">
      <alignment horizontal="center"/>
    </xf>
    <xf numFmtId="10" fontId="13" fillId="0" borderId="107" xfId="2" applyNumberFormat="1" applyFont="1" applyFill="1" applyBorder="1" applyAlignment="1">
      <alignment horizontal="center"/>
    </xf>
    <xf numFmtId="10" fontId="13" fillId="0" borderId="46" xfId="2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08" xfId="0" applyFill="1" applyBorder="1"/>
    <xf numFmtId="10" fontId="13" fillId="0" borderId="16" xfId="2" applyNumberFormat="1" applyFont="1" applyFill="1" applyBorder="1" applyAlignment="1">
      <alignment horizontal="center"/>
    </xf>
    <xf numFmtId="0" fontId="0" fillId="0" borderId="57" xfId="0" applyFill="1" applyBorder="1"/>
    <xf numFmtId="0" fontId="0" fillId="0" borderId="58" xfId="0" applyFill="1" applyBorder="1"/>
    <xf numFmtId="0" fontId="14" fillId="0" borderId="41" xfId="0" applyFont="1" applyFill="1" applyBorder="1"/>
    <xf numFmtId="0" fontId="0" fillId="0" borderId="109" xfId="0" applyFill="1" applyBorder="1"/>
    <xf numFmtId="0" fontId="0" fillId="0" borderId="43" xfId="0" applyFill="1" applyBorder="1"/>
    <xf numFmtId="0" fontId="0" fillId="0" borderId="64" xfId="0" applyFill="1" applyBorder="1"/>
    <xf numFmtId="0" fontId="0" fillId="0" borderId="65" xfId="0" applyFill="1" applyBorder="1"/>
    <xf numFmtId="0" fontId="0" fillId="0" borderId="22" xfId="0" applyFill="1" applyBorder="1"/>
    <xf numFmtId="0" fontId="14" fillId="0" borderId="44" xfId="0" applyFont="1" applyFill="1" applyBorder="1" applyAlignment="1"/>
    <xf numFmtId="0" fontId="0" fillId="0" borderId="31" xfId="0" applyFill="1" applyBorder="1"/>
    <xf numFmtId="0" fontId="0" fillId="0" borderId="82" xfId="0" applyFill="1" applyBorder="1"/>
    <xf numFmtId="0" fontId="0" fillId="0" borderId="93" xfId="0" applyFill="1" applyBorder="1"/>
    <xf numFmtId="0" fontId="0" fillId="0" borderId="46" xfId="0" applyFill="1" applyBorder="1"/>
    <xf numFmtId="0" fontId="8" fillId="0" borderId="110" xfId="0" applyFont="1" applyFill="1" applyBorder="1" applyAlignment="1">
      <alignment horizontal="center" vertical="center"/>
    </xf>
    <xf numFmtId="10" fontId="13" fillId="0" borderId="110" xfId="2" applyNumberFormat="1" applyFont="1" applyFill="1" applyBorder="1" applyAlignment="1">
      <alignment horizontal="center"/>
    </xf>
    <xf numFmtId="0" fontId="13" fillId="0" borderId="111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/>
    </xf>
    <xf numFmtId="3" fontId="17" fillId="0" borderId="111" xfId="0" applyNumberFormat="1" applyFont="1" applyFill="1" applyBorder="1" applyAlignment="1">
      <alignment horizontal="right"/>
    </xf>
    <xf numFmtId="0" fontId="8" fillId="0" borderId="111" xfId="0" applyFont="1" applyFill="1" applyBorder="1" applyAlignment="1">
      <alignment horizontal="center" vertical="center"/>
    </xf>
    <xf numFmtId="43" fontId="8" fillId="0" borderId="110" xfId="0" applyNumberFormat="1" applyFont="1" applyFill="1" applyBorder="1" applyAlignment="1">
      <alignment horizontal="center"/>
    </xf>
    <xf numFmtId="0" fontId="8" fillId="0" borderId="110" xfId="0" applyFont="1" applyFill="1" applyBorder="1" applyAlignment="1">
      <alignment horizontal="center"/>
    </xf>
    <xf numFmtId="9" fontId="8" fillId="0" borderId="110" xfId="0" applyNumberFormat="1" applyFont="1" applyFill="1" applyBorder="1" applyAlignment="1">
      <alignment horizontal="center"/>
    </xf>
    <xf numFmtId="0" fontId="7" fillId="0" borderId="28" xfId="0" applyFont="1" applyFill="1" applyBorder="1"/>
    <xf numFmtId="0" fontId="0" fillId="0" borderId="16" xfId="0" applyFill="1" applyBorder="1"/>
    <xf numFmtId="0" fontId="0" fillId="0" borderId="29" xfId="0" applyFill="1" applyBorder="1"/>
    <xf numFmtId="0" fontId="0" fillId="0" borderId="5" xfId="0" applyFill="1" applyBorder="1"/>
    <xf numFmtId="0" fontId="0" fillId="0" borderId="52" xfId="0" applyFill="1" applyBorder="1"/>
    <xf numFmtId="164" fontId="0" fillId="0" borderId="79" xfId="1" applyNumberFormat="1" applyFont="1" applyFill="1" applyBorder="1"/>
    <xf numFmtId="164" fontId="0" fillId="0" borderId="106" xfId="1" applyNumberFormat="1" applyFont="1" applyFill="1" applyBorder="1"/>
    <xf numFmtId="164" fontId="0" fillId="0" borderId="80" xfId="1" applyNumberFormat="1" applyFont="1" applyFill="1" applyBorder="1"/>
    <xf numFmtId="3" fontId="26" fillId="0" borderId="28" xfId="1" applyNumberFormat="1" applyFont="1" applyFill="1" applyBorder="1" applyAlignment="1">
      <alignment horizontal="right"/>
    </xf>
    <xf numFmtId="10" fontId="26" fillId="0" borderId="85" xfId="1" applyNumberFormat="1" applyFont="1" applyFill="1" applyBorder="1"/>
    <xf numFmtId="9" fontId="0" fillId="0" borderId="54" xfId="2" applyFont="1" applyFill="1" applyBorder="1"/>
    <xf numFmtId="0" fontId="7" fillId="0" borderId="81" xfId="0" applyFont="1" applyFill="1" applyBorder="1"/>
    <xf numFmtId="0" fontId="0" fillId="0" borderId="26" xfId="0" applyFill="1" applyBorder="1"/>
    <xf numFmtId="0" fontId="0" fillId="0" borderId="77" xfId="0" applyFill="1" applyBorder="1"/>
    <xf numFmtId="0" fontId="0" fillId="0" borderId="21" xfId="0" applyFill="1" applyBorder="1"/>
    <xf numFmtId="10" fontId="13" fillId="0" borderId="112" xfId="2" applyNumberFormat="1" applyFont="1" applyFill="1" applyBorder="1" applyAlignment="1">
      <alignment horizontal="center"/>
    </xf>
    <xf numFmtId="164" fontId="0" fillId="0" borderId="25" xfId="1" applyNumberFormat="1" applyFont="1" applyFill="1" applyBorder="1"/>
    <xf numFmtId="164" fontId="0" fillId="0" borderId="26" xfId="1" applyNumberFormat="1" applyFont="1" applyFill="1" applyBorder="1"/>
    <xf numFmtId="164" fontId="0" fillId="0" borderId="40" xfId="1" applyNumberFormat="1" applyFont="1" applyFill="1" applyBorder="1"/>
    <xf numFmtId="3" fontId="26" fillId="0" borderId="26" xfId="1" applyNumberFormat="1" applyFont="1" applyFill="1" applyBorder="1" applyAlignment="1">
      <alignment horizontal="right"/>
    </xf>
    <xf numFmtId="10" fontId="26" fillId="0" borderId="40" xfId="1" applyNumberFormat="1" applyFont="1" applyFill="1" applyBorder="1"/>
    <xf numFmtId="9" fontId="0" fillId="0" borderId="21" xfId="2" applyFont="1" applyFill="1" applyBorder="1"/>
    <xf numFmtId="169" fontId="0" fillId="0" borderId="0" xfId="0" applyNumberFormat="1" applyFill="1" applyBorder="1"/>
    <xf numFmtId="169" fontId="0" fillId="0" borderId="0" xfId="0" applyNumberFormat="1" applyFill="1" applyBorder="1" applyAlignment="1">
      <alignment horizontal="center"/>
    </xf>
    <xf numFmtId="0" fontId="3" fillId="0" borderId="13" xfId="0" applyFont="1" applyFill="1" applyBorder="1" applyAlignment="1"/>
    <xf numFmtId="0" fontId="3" fillId="0" borderId="46" xfId="0" applyFont="1" applyFill="1" applyBorder="1" applyAlignment="1"/>
    <xf numFmtId="0" fontId="3" fillId="0" borderId="46" xfId="0" applyFont="1" applyFill="1" applyBorder="1"/>
    <xf numFmtId="0" fontId="3" fillId="0" borderId="78" xfId="0" applyFont="1" applyFill="1" applyBorder="1"/>
    <xf numFmtId="10" fontId="3" fillId="0" borderId="104" xfId="1" applyNumberFormat="1" applyFont="1" applyFill="1" applyBorder="1"/>
    <xf numFmtId="164" fontId="7" fillId="0" borderId="105" xfId="1" applyNumberFormat="1" applyFont="1" applyFill="1" applyBorder="1"/>
    <xf numFmtId="164" fontId="3" fillId="0" borderId="13" xfId="1" applyNumberFormat="1" applyFont="1" applyFill="1" applyBorder="1"/>
    <xf numFmtId="164" fontId="3" fillId="0" borderId="46" xfId="1" applyNumberFormat="1" applyFont="1" applyFill="1" applyBorder="1"/>
    <xf numFmtId="164" fontId="3" fillId="0" borderId="47" xfId="1" applyNumberFormat="1" applyFont="1" applyFill="1" applyBorder="1"/>
    <xf numFmtId="3" fontId="27" fillId="0" borderId="46" xfId="1" applyNumberFormat="1" applyFont="1" applyFill="1" applyBorder="1" applyAlignment="1">
      <alignment horizontal="right"/>
    </xf>
    <xf numFmtId="10" fontId="7" fillId="0" borderId="47" xfId="1" applyNumberFormat="1" applyFont="1" applyFill="1" applyBorder="1"/>
    <xf numFmtId="165" fontId="3" fillId="0" borderId="10" xfId="0" applyNumberFormat="1" applyFont="1" applyFill="1" applyBorder="1" applyAlignment="1">
      <alignment horizontal="center"/>
    </xf>
    <xf numFmtId="0" fontId="3" fillId="0" borderId="50" xfId="0" applyFont="1" applyFill="1" applyBorder="1"/>
    <xf numFmtId="0" fontId="11" fillId="0" borderId="0" xfId="0" applyFont="1" applyFill="1"/>
    <xf numFmtId="10" fontId="11" fillId="0" borderId="0" xfId="0" applyNumberFormat="1" applyFont="1" applyFill="1"/>
    <xf numFmtId="10" fontId="11" fillId="0" borderId="0" xfId="2" applyNumberFormat="1" applyFont="1" applyFill="1"/>
    <xf numFmtId="164" fontId="0" fillId="0" borderId="0" xfId="1" applyNumberFormat="1" applyFont="1" applyFill="1"/>
    <xf numFmtId="3" fontId="4" fillId="0" borderId="0" xfId="0" applyNumberFormat="1" applyFont="1" applyFill="1" applyAlignment="1">
      <alignment horizontal="right"/>
    </xf>
    <xf numFmtId="10" fontId="0" fillId="0" borderId="0" xfId="0" applyNumberFormat="1" applyFill="1" applyAlignment="1">
      <alignment horizontal="right"/>
    </xf>
    <xf numFmtId="0" fontId="28" fillId="0" borderId="0" xfId="0" applyFont="1" applyFill="1"/>
    <xf numFmtId="10" fontId="29" fillId="0" borderId="0" xfId="2" applyNumberFormat="1" applyFont="1" applyFill="1"/>
    <xf numFmtId="0" fontId="7" fillId="0" borderId="0" xfId="0" applyFont="1" applyFill="1"/>
    <xf numFmtId="10" fontId="2" fillId="0" borderId="0" xfId="0" applyNumberFormat="1" applyFont="1" applyFill="1" applyBorder="1"/>
    <xf numFmtId="10" fontId="7" fillId="0" borderId="0" xfId="0" applyNumberFormat="1" applyFont="1" applyFill="1"/>
    <xf numFmtId="4" fontId="0" fillId="0" borderId="0" xfId="0" applyNumberFormat="1" applyFill="1" applyAlignment="1">
      <alignment horizontal="right"/>
    </xf>
    <xf numFmtId="164" fontId="0" fillId="0" borderId="0" xfId="0" applyNumberFormat="1" applyFill="1" applyBorder="1"/>
    <xf numFmtId="10" fontId="0" fillId="0" borderId="0" xfId="0" applyNumberFormat="1" applyFill="1"/>
    <xf numFmtId="4" fontId="0" fillId="0" borderId="0" xfId="0" applyNumberFormat="1" applyAlignment="1">
      <alignment horizontal="right"/>
    </xf>
    <xf numFmtId="170" fontId="30" fillId="0" borderId="0" xfId="0" applyNumberFormat="1" applyFont="1" applyFill="1"/>
    <xf numFmtId="3" fontId="31" fillId="0" borderId="0" xfId="0" applyNumberFormat="1" applyFont="1" applyFill="1" applyAlignment="1">
      <alignment horizontal="right"/>
    </xf>
    <xf numFmtId="4" fontId="0" fillId="0" borderId="0" xfId="0" applyNumberFormat="1"/>
    <xf numFmtId="4" fontId="0" fillId="0" borderId="0" xfId="0" applyNumberFormat="1" applyFill="1"/>
    <xf numFmtId="10" fontId="11" fillId="0" borderId="0" xfId="2" applyNumberFormat="1" applyFont="1"/>
    <xf numFmtId="0" fontId="11" fillId="0" borderId="0" xfId="0" applyFont="1"/>
    <xf numFmtId="3" fontId="31" fillId="0" borderId="0" xfId="0" applyNumberFormat="1" applyFont="1" applyAlignment="1">
      <alignment horizontal="right"/>
    </xf>
    <xf numFmtId="10" fontId="0" fillId="0" borderId="0" xfId="0" applyNumberFormat="1"/>
    <xf numFmtId="171" fontId="0" fillId="0" borderId="0" xfId="0" applyNumberFormat="1" applyFill="1"/>
    <xf numFmtId="10" fontId="32" fillId="2" borderId="0" xfId="0" applyNumberFormat="1" applyFont="1" applyFill="1"/>
    <xf numFmtId="4" fontId="31" fillId="0" borderId="0" xfId="0" applyNumberFormat="1" applyFont="1" applyAlignment="1">
      <alignment horizontal="right"/>
    </xf>
    <xf numFmtId="0" fontId="32" fillId="2" borderId="0" xfId="0" applyFont="1" applyFill="1"/>
    <xf numFmtId="10" fontId="2" fillId="0" borderId="0" xfId="0" applyNumberFormat="1" applyFont="1"/>
    <xf numFmtId="9" fontId="6" fillId="0" borderId="50" xfId="0" applyNumberFormat="1" applyFont="1" applyFill="1" applyBorder="1" applyAlignment="1">
      <alignment horizontal="center" vertical="center"/>
    </xf>
    <xf numFmtId="165" fontId="6" fillId="0" borderId="46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5" fontId="6" fillId="0" borderId="0" xfId="2" applyNumberFormat="1" applyFont="1" applyFill="1" applyBorder="1" applyAlignment="1">
      <alignment horizontal="left"/>
    </xf>
    <xf numFmtId="0" fontId="0" fillId="0" borderId="46" xfId="0" applyFill="1" applyBorder="1" applyAlignment="1">
      <alignment horizontal="center" vertical="center"/>
    </xf>
    <xf numFmtId="0" fontId="15" fillId="0" borderId="114" xfId="0" applyFont="1" applyFill="1" applyBorder="1"/>
    <xf numFmtId="10" fontId="13" fillId="0" borderId="115" xfId="2" applyNumberFormat="1" applyFont="1" applyFill="1" applyBorder="1" applyAlignment="1">
      <alignment horizontal="center"/>
    </xf>
    <xf numFmtId="165" fontId="6" fillId="0" borderId="116" xfId="2" applyNumberFormat="1" applyFont="1" applyFill="1" applyBorder="1" applyAlignment="1">
      <alignment horizontal="left"/>
    </xf>
    <xf numFmtId="3" fontId="17" fillId="0" borderId="1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center" vertical="center"/>
    </xf>
    <xf numFmtId="3" fontId="17" fillId="0" borderId="2" xfId="1" applyNumberFormat="1" applyFont="1" applyFill="1" applyBorder="1" applyAlignment="1">
      <alignment horizontal="right"/>
    </xf>
    <xf numFmtId="10" fontId="19" fillId="0" borderId="2" xfId="2" applyNumberFormat="1" applyFont="1" applyFill="1" applyBorder="1" applyAlignment="1">
      <alignment horizontal="center"/>
    </xf>
    <xf numFmtId="3" fontId="17" fillId="0" borderId="16" xfId="1" applyNumberFormat="1" applyFont="1" applyFill="1" applyBorder="1" applyAlignment="1">
      <alignment horizontal="right"/>
    </xf>
    <xf numFmtId="165" fontId="6" fillId="0" borderId="2" xfId="2" applyNumberFormat="1" applyFont="1" applyFill="1" applyBorder="1" applyAlignment="1">
      <alignment horizontal="center" vertical="center"/>
    </xf>
    <xf numFmtId="165" fontId="6" fillId="0" borderId="3" xfId="2" applyNumberFormat="1" applyFont="1" applyFill="1" applyBorder="1" applyAlignment="1">
      <alignment horizontal="left"/>
    </xf>
    <xf numFmtId="165" fontId="6" fillId="0" borderId="7" xfId="2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0" fontId="21" fillId="0" borderId="0" xfId="2" applyNumberFormat="1" applyFont="1" applyFill="1" applyBorder="1" applyAlignment="1">
      <alignment horizontal="center"/>
    </xf>
    <xf numFmtId="0" fontId="6" fillId="0" borderId="43" xfId="0" applyFont="1" applyFill="1" applyBorder="1"/>
    <xf numFmtId="10" fontId="13" fillId="0" borderId="73" xfId="2" applyNumberFormat="1" applyFont="1" applyFill="1" applyBorder="1" applyAlignment="1">
      <alignment horizontal="center"/>
    </xf>
    <xf numFmtId="0" fontId="13" fillId="0" borderId="46" xfId="0" applyFont="1" applyFill="1" applyBorder="1" applyAlignment="1">
      <alignment horizontal="center" vertical="center"/>
    </xf>
    <xf numFmtId="10" fontId="13" fillId="0" borderId="7" xfId="2" applyNumberFormat="1" applyFont="1" applyFill="1" applyBorder="1" applyAlignment="1">
      <alignment horizontal="center"/>
    </xf>
    <xf numFmtId="10" fontId="21" fillId="0" borderId="2" xfId="2" applyNumberFormat="1" applyFont="1" applyFill="1" applyBorder="1" applyAlignment="1">
      <alignment horizontal="center"/>
    </xf>
    <xf numFmtId="3" fontId="17" fillId="0" borderId="7" xfId="1" applyNumberFormat="1" applyFont="1" applyFill="1" applyBorder="1" applyAlignment="1">
      <alignment horizontal="right"/>
    </xf>
    <xf numFmtId="165" fontId="6" fillId="0" borderId="46" xfId="2" applyNumberFormat="1" applyFont="1" applyFill="1" applyBorder="1" applyAlignment="1">
      <alignment horizontal="left"/>
    </xf>
    <xf numFmtId="0" fontId="16" fillId="0" borderId="117" xfId="0" applyFont="1" applyFill="1" applyBorder="1"/>
    <xf numFmtId="10" fontId="13" fillId="0" borderId="46" xfId="2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3" xfId="0" applyFont="1" applyFill="1" applyBorder="1" applyAlignment="1"/>
    <xf numFmtId="0" fontId="15" fillId="2" borderId="0" xfId="0" applyFont="1" applyFill="1" applyBorder="1"/>
    <xf numFmtId="0" fontId="16" fillId="2" borderId="2" xfId="0" applyFont="1" applyFill="1" applyBorder="1"/>
    <xf numFmtId="0" fontId="10" fillId="2" borderId="2" xfId="0" applyFont="1" applyFill="1" applyBorder="1" applyAlignment="1">
      <alignment horizontal="center"/>
    </xf>
    <xf numFmtId="0" fontId="16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8" fillId="2" borderId="1" xfId="0" applyFont="1" applyFill="1" applyBorder="1"/>
    <xf numFmtId="0" fontId="6" fillId="2" borderId="2" xfId="0" applyFont="1" applyFill="1" applyBorder="1"/>
    <xf numFmtId="0" fontId="10" fillId="2" borderId="46" xfId="0" applyFont="1" applyFill="1" applyBorder="1" applyAlignment="1">
      <alignment horizontal="center"/>
    </xf>
    <xf numFmtId="0" fontId="8" fillId="2" borderId="13" xfId="0" applyFont="1" applyFill="1" applyBorder="1"/>
    <xf numFmtId="0" fontId="16" fillId="2" borderId="46" xfId="0" applyFont="1" applyFill="1" applyBorder="1"/>
    <xf numFmtId="0" fontId="16" fillId="2" borderId="46" xfId="0" applyFont="1" applyFill="1" applyBorder="1" applyAlignment="1"/>
    <xf numFmtId="9" fontId="6" fillId="0" borderId="46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/>
    <xf numFmtId="165" fontId="13" fillId="0" borderId="26" xfId="2" applyNumberFormat="1" applyFont="1" applyFill="1" applyBorder="1" applyAlignment="1"/>
    <xf numFmtId="165" fontId="13" fillId="0" borderId="42" xfId="2" applyNumberFormat="1" applyFont="1" applyFill="1" applyBorder="1" applyAlignment="1"/>
    <xf numFmtId="165" fontId="13" fillId="0" borderId="72" xfId="2" applyNumberFormat="1" applyFont="1" applyFill="1" applyBorder="1" applyAlignment="1"/>
    <xf numFmtId="165" fontId="13" fillId="0" borderId="0" xfId="2" applyNumberFormat="1" applyFont="1" applyFill="1" applyBorder="1" applyAlignment="1"/>
    <xf numFmtId="165" fontId="13" fillId="0" borderId="114" xfId="2" applyNumberFormat="1" applyFont="1" applyFill="1" applyBorder="1" applyAlignment="1"/>
    <xf numFmtId="165" fontId="13" fillId="0" borderId="116" xfId="2" applyNumberFormat="1" applyFont="1" applyFill="1" applyBorder="1" applyAlignment="1"/>
    <xf numFmtId="164" fontId="36" fillId="3" borderId="19" xfId="1" applyNumberFormat="1" applyFont="1" applyFill="1" applyBorder="1"/>
    <xf numFmtId="10" fontId="13" fillId="3" borderId="34" xfId="2" applyNumberFormat="1" applyFont="1" applyFill="1" applyBorder="1" applyAlignment="1">
      <alignment horizontal="center"/>
    </xf>
    <xf numFmtId="165" fontId="13" fillId="0" borderId="22" xfId="2" applyNumberFormat="1" applyFont="1" applyFill="1" applyBorder="1" applyAlignment="1"/>
    <xf numFmtId="165" fontId="13" fillId="0" borderId="40" xfId="2" applyNumberFormat="1" applyFont="1" applyFill="1" applyBorder="1" applyAlignment="1"/>
    <xf numFmtId="0" fontId="6" fillId="0" borderId="69" xfId="0" applyFont="1" applyFill="1" applyBorder="1"/>
    <xf numFmtId="164" fontId="36" fillId="3" borderId="37" xfId="1" applyNumberFormat="1" applyFont="1" applyFill="1" applyBorder="1"/>
    <xf numFmtId="10" fontId="13" fillId="3" borderId="23" xfId="2" applyNumberFormat="1" applyFont="1" applyFill="1" applyBorder="1" applyAlignment="1">
      <alignment horizontal="center"/>
    </xf>
    <xf numFmtId="164" fontId="36" fillId="3" borderId="43" xfId="1" applyNumberFormat="1" applyFont="1" applyFill="1" applyBorder="1"/>
    <xf numFmtId="0" fontId="6" fillId="0" borderId="44" xfId="0" applyFont="1" applyFill="1" applyBorder="1"/>
    <xf numFmtId="164" fontId="36" fillId="3" borderId="10" xfId="1" applyNumberFormat="1" applyFont="1" applyFill="1" applyBorder="1"/>
    <xf numFmtId="10" fontId="13" fillId="3" borderId="105" xfId="2" applyNumberFormat="1" applyFont="1" applyFill="1" applyBorder="1" applyAlignment="1">
      <alignment horizontal="center"/>
    </xf>
    <xf numFmtId="0" fontId="15" fillId="0" borderId="43" xfId="0" applyFont="1" applyFill="1" applyBorder="1"/>
    <xf numFmtId="165" fontId="6" fillId="0" borderId="41" xfId="2" applyNumberFormat="1" applyFont="1" applyFill="1" applyBorder="1" applyAlignment="1"/>
    <xf numFmtId="165" fontId="6" fillId="0" borderId="42" xfId="2" applyNumberFormat="1" applyFont="1" applyFill="1" applyBorder="1" applyAlignment="1"/>
    <xf numFmtId="165" fontId="6" fillId="0" borderId="72" xfId="2" applyNumberFormat="1" applyFont="1" applyFill="1" applyBorder="1" applyAlignment="1"/>
    <xf numFmtId="0" fontId="6" fillId="0" borderId="62" xfId="0" applyFont="1" applyFill="1" applyBorder="1"/>
    <xf numFmtId="10" fontId="13" fillId="3" borderId="113" xfId="2" applyNumberFormat="1" applyFont="1" applyFill="1" applyBorder="1" applyAlignment="1">
      <alignment horizontal="center"/>
    </xf>
    <xf numFmtId="165" fontId="13" fillId="0" borderId="24" xfId="2" applyNumberFormat="1" applyFont="1" applyFill="1" applyBorder="1" applyAlignment="1"/>
    <xf numFmtId="10" fontId="13" fillId="0" borderId="72" xfId="1" applyNumberFormat="1" applyFont="1" applyFill="1" applyBorder="1" applyAlignment="1"/>
    <xf numFmtId="10" fontId="13" fillId="3" borderId="63" xfId="2" applyNumberFormat="1" applyFont="1" applyFill="1" applyBorder="1" applyAlignment="1">
      <alignment horizontal="center"/>
    </xf>
    <xf numFmtId="10" fontId="25" fillId="0" borderId="65" xfId="2" applyNumberFormat="1" applyFont="1" applyFill="1" applyBorder="1" applyAlignment="1">
      <alignment horizontal="center"/>
    </xf>
    <xf numFmtId="165" fontId="13" fillId="0" borderId="66" xfId="2" applyNumberFormat="1" applyFont="1" applyFill="1" applyBorder="1" applyAlignment="1">
      <alignment horizontal="center"/>
    </xf>
    <xf numFmtId="10" fontId="13" fillId="0" borderId="70" xfId="2" applyNumberFormat="1" applyFont="1" applyFill="1" applyBorder="1" applyAlignment="1">
      <alignment horizontal="center"/>
    </xf>
    <xf numFmtId="10" fontId="25" fillId="0" borderId="71" xfId="2" applyNumberFormat="1" applyFont="1" applyFill="1" applyBorder="1" applyAlignment="1">
      <alignment horizontal="center"/>
    </xf>
    <xf numFmtId="165" fontId="13" fillId="0" borderId="72" xfId="2" applyNumberFormat="1" applyFont="1" applyFill="1" applyBorder="1" applyAlignment="1">
      <alignment horizontal="left"/>
    </xf>
    <xf numFmtId="165" fontId="13" fillId="0" borderId="68" xfId="2" applyNumberFormat="1" applyFont="1" applyFill="1" applyBorder="1" applyAlignment="1">
      <alignment horizontal="center"/>
    </xf>
    <xf numFmtId="10" fontId="25" fillId="0" borderId="81" xfId="2" applyNumberFormat="1" applyFont="1" applyFill="1" applyBorder="1" applyAlignment="1">
      <alignment horizontal="center"/>
    </xf>
    <xf numFmtId="164" fontId="36" fillId="3" borderId="21" xfId="1" applyNumberFormat="1" applyFont="1" applyFill="1" applyBorder="1"/>
    <xf numFmtId="164" fontId="36" fillId="3" borderId="31" xfId="1" applyNumberFormat="1" applyFont="1" applyFill="1" applyBorder="1"/>
    <xf numFmtId="164" fontId="36" fillId="3" borderId="74" xfId="1" applyNumberFormat="1" applyFont="1" applyFill="1" applyBorder="1"/>
    <xf numFmtId="165" fontId="13" fillId="0" borderId="35" xfId="2" applyNumberFormat="1" applyFont="1" applyFill="1" applyBorder="1" applyAlignment="1">
      <alignment horizontal="left"/>
    </xf>
    <xf numFmtId="10" fontId="25" fillId="0" borderId="42" xfId="2" applyNumberFormat="1" applyFont="1" applyFill="1" applyBorder="1" applyAlignment="1">
      <alignment horizontal="center"/>
    </xf>
    <xf numFmtId="165" fontId="13" fillId="0" borderId="119" xfId="2" applyNumberFormat="1" applyFont="1" applyFill="1" applyBorder="1" applyAlignment="1">
      <alignment horizontal="center"/>
    </xf>
    <xf numFmtId="10" fontId="25" fillId="0" borderId="0" xfId="2" applyNumberFormat="1" applyFont="1" applyFill="1" applyBorder="1" applyAlignment="1">
      <alignment horizontal="center"/>
    </xf>
    <xf numFmtId="0" fontId="13" fillId="0" borderId="30" xfId="0" applyFont="1" applyFill="1" applyBorder="1"/>
    <xf numFmtId="165" fontId="13" fillId="0" borderId="35" xfId="2" applyNumberFormat="1" applyFont="1" applyFill="1" applyBorder="1" applyAlignment="1">
      <alignment horizontal="left" vertical="center"/>
    </xf>
    <xf numFmtId="0" fontId="14" fillId="0" borderId="30" xfId="0" applyFont="1" applyFill="1" applyBorder="1" applyAlignment="1">
      <alignment horizontal="left"/>
    </xf>
    <xf numFmtId="164" fontId="0" fillId="0" borderId="36" xfId="1" applyNumberFormat="1" applyFont="1" applyFill="1" applyBorder="1"/>
    <xf numFmtId="164" fontId="0" fillId="0" borderId="0" xfId="1" applyNumberFormat="1" applyFont="1" applyFill="1" applyBorder="1"/>
    <xf numFmtId="164" fontId="0" fillId="0" borderId="35" xfId="1" applyNumberFormat="1" applyFont="1" applyFill="1" applyBorder="1"/>
    <xf numFmtId="3" fontId="26" fillId="0" borderId="0" xfId="1" applyNumberFormat="1" applyFont="1" applyFill="1" applyBorder="1" applyAlignment="1">
      <alignment horizontal="right"/>
    </xf>
    <xf numFmtId="10" fontId="26" fillId="0" borderId="35" xfId="1" applyNumberFormat="1" applyFont="1" applyFill="1" applyBorder="1"/>
    <xf numFmtId="9" fontId="0" fillId="0" borderId="37" xfId="2" applyFont="1" applyFill="1" applyBorder="1"/>
    <xf numFmtId="0" fontId="0" fillId="0" borderId="17" xfId="0" applyFill="1" applyBorder="1"/>
    <xf numFmtId="0" fontId="7" fillId="0" borderId="41" xfId="0" applyFont="1" applyFill="1" applyBorder="1"/>
    <xf numFmtId="0" fontId="0" fillId="0" borderId="74" xfId="0" applyFill="1" applyBorder="1"/>
    <xf numFmtId="10" fontId="25" fillId="0" borderId="97" xfId="2" applyNumberFormat="1" applyFont="1" applyFill="1" applyBorder="1" applyAlignment="1">
      <alignment horizontal="center"/>
    </xf>
    <xf numFmtId="3" fontId="17" fillId="3" borderId="22" xfId="1" applyNumberFormat="1" applyFont="1" applyFill="1" applyBorder="1" applyAlignment="1">
      <alignment horizontal="right"/>
    </xf>
    <xf numFmtId="10" fontId="25" fillId="0" borderId="95" xfId="2" applyNumberFormat="1" applyFont="1" applyFill="1" applyBorder="1" applyAlignment="1">
      <alignment horizontal="center"/>
    </xf>
    <xf numFmtId="10" fontId="38" fillId="0" borderId="65" xfId="2" applyNumberFormat="1" applyFont="1" applyFill="1" applyBorder="1" applyAlignment="1">
      <alignment horizontal="center"/>
    </xf>
    <xf numFmtId="165" fontId="13" fillId="0" borderId="40" xfId="2" applyNumberFormat="1" applyFont="1" applyFill="1" applyBorder="1" applyAlignment="1">
      <alignment horizontal="left"/>
    </xf>
    <xf numFmtId="10" fontId="13" fillId="0" borderId="1" xfId="2" applyNumberFormat="1" applyFont="1" applyFill="1" applyBorder="1" applyAlignment="1">
      <alignment horizontal="center"/>
    </xf>
    <xf numFmtId="165" fontId="6" fillId="0" borderId="2" xfId="2" applyNumberFormat="1" applyFont="1" applyFill="1" applyBorder="1" applyAlignment="1">
      <alignment horizontal="left"/>
    </xf>
    <xf numFmtId="0" fontId="0" fillId="0" borderId="2" xfId="0" applyFill="1" applyBorder="1" applyAlignment="1">
      <alignment horizontal="center" vertical="center"/>
    </xf>
    <xf numFmtId="10" fontId="13" fillId="0" borderId="121" xfId="2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4" fillId="0" borderId="44" xfId="0" applyFont="1" applyFill="1" applyBorder="1"/>
    <xf numFmtId="166" fontId="18" fillId="0" borderId="42" xfId="0" applyNumberFormat="1" applyFont="1" applyFill="1" applyBorder="1" applyAlignment="1">
      <alignment horizontal="right"/>
    </xf>
    <xf numFmtId="10" fontId="13" fillId="3" borderId="86" xfId="2" applyNumberFormat="1" applyFont="1" applyFill="1" applyBorder="1" applyAlignment="1">
      <alignment horizontal="center"/>
    </xf>
    <xf numFmtId="10" fontId="13" fillId="3" borderId="56" xfId="2" applyNumberFormat="1" applyFont="1" applyFill="1" applyBorder="1" applyAlignment="1">
      <alignment horizontal="center"/>
    </xf>
    <xf numFmtId="3" fontId="17" fillId="3" borderId="57" xfId="1" applyNumberFormat="1" applyFont="1" applyFill="1" applyBorder="1" applyAlignment="1"/>
    <xf numFmtId="3" fontId="17" fillId="3" borderId="63" xfId="1" applyNumberFormat="1" applyFont="1" applyFill="1" applyBorder="1" applyAlignment="1"/>
    <xf numFmtId="168" fontId="13" fillId="3" borderId="63" xfId="1" applyNumberFormat="1" applyFont="1" applyFill="1" applyBorder="1" applyAlignment="1"/>
    <xf numFmtId="3" fontId="17" fillId="3" borderId="41" xfId="1" applyNumberFormat="1" applyFont="1" applyFill="1" applyBorder="1" applyAlignment="1"/>
    <xf numFmtId="3" fontId="17" fillId="3" borderId="73" xfId="1" applyNumberFormat="1" applyFont="1" applyFill="1" applyBorder="1" applyAlignment="1"/>
    <xf numFmtId="168" fontId="13" fillId="3" borderId="73" xfId="1" applyNumberFormat="1" applyFont="1" applyFill="1" applyBorder="1" applyAlignment="1">
      <alignment horizontal="right"/>
    </xf>
    <xf numFmtId="168" fontId="13" fillId="3" borderId="0" xfId="1" applyNumberFormat="1" applyFont="1" applyFill="1" applyBorder="1" applyAlignment="1"/>
    <xf numFmtId="3" fontId="17" fillId="3" borderId="48" xfId="1" applyNumberFormat="1" applyFont="1" applyFill="1" applyBorder="1" applyAlignment="1"/>
    <xf numFmtId="10" fontId="13" fillId="3" borderId="79" xfId="2" applyNumberFormat="1" applyFont="1" applyFill="1" applyBorder="1" applyAlignment="1">
      <alignment horizontal="center"/>
    </xf>
    <xf numFmtId="10" fontId="13" fillId="3" borderId="41" xfId="2" applyNumberFormat="1" applyFont="1" applyFill="1" applyBorder="1" applyAlignment="1">
      <alignment horizontal="center"/>
    </xf>
    <xf numFmtId="3" fontId="17" fillId="3" borderId="79" xfId="1" applyNumberFormat="1" applyFont="1" applyFill="1" applyBorder="1" applyAlignment="1">
      <alignment horizontal="right"/>
    </xf>
    <xf numFmtId="3" fontId="17" fillId="3" borderId="63" xfId="1" applyNumberFormat="1" applyFont="1" applyFill="1" applyBorder="1" applyAlignment="1">
      <alignment horizontal="right"/>
    </xf>
    <xf numFmtId="168" fontId="13" fillId="3" borderId="63" xfId="1" applyNumberFormat="1" applyFont="1" applyFill="1" applyBorder="1" applyAlignment="1">
      <alignment horizontal="left"/>
    </xf>
    <xf numFmtId="3" fontId="17" fillId="3" borderId="73" xfId="1" applyNumberFormat="1" applyFont="1" applyFill="1" applyBorder="1" applyAlignment="1">
      <alignment horizontal="right"/>
    </xf>
    <xf numFmtId="168" fontId="13" fillId="3" borderId="64" xfId="1" applyNumberFormat="1" applyFont="1" applyFill="1" applyBorder="1" applyAlignment="1">
      <alignment horizontal="left"/>
    </xf>
    <xf numFmtId="10" fontId="13" fillId="3" borderId="27" xfId="2" applyNumberFormat="1" applyFont="1" applyFill="1" applyBorder="1" applyAlignment="1">
      <alignment horizontal="center"/>
    </xf>
    <xf numFmtId="10" fontId="13" fillId="3" borderId="0" xfId="2" applyNumberFormat="1" applyFont="1" applyFill="1" applyBorder="1" applyAlignment="1">
      <alignment horizontal="center"/>
    </xf>
    <xf numFmtId="3" fontId="17" fillId="3" borderId="0" xfId="1" applyNumberFormat="1" applyFont="1" applyFill="1" applyBorder="1" applyAlignment="1">
      <alignment horizontal="right"/>
    </xf>
    <xf numFmtId="3" fontId="17" fillId="3" borderId="41" xfId="1" applyNumberFormat="1" applyFont="1" applyFill="1" applyBorder="1" applyAlignment="1">
      <alignment horizontal="right"/>
    </xf>
    <xf numFmtId="168" fontId="13" fillId="3" borderId="41" xfId="1" applyNumberFormat="1" applyFont="1" applyFill="1" applyBorder="1" applyAlignment="1">
      <alignment horizontal="left"/>
    </xf>
    <xf numFmtId="3" fontId="17" fillId="3" borderId="46" xfId="1" applyNumberFormat="1" applyFont="1" applyFill="1" applyBorder="1" applyAlignment="1">
      <alignment horizontal="right"/>
    </xf>
    <xf numFmtId="0" fontId="10" fillId="0" borderId="52" xfId="0" applyFont="1" applyFill="1" applyBorder="1" applyAlignment="1">
      <alignment horizontal="center"/>
    </xf>
    <xf numFmtId="10" fontId="21" fillId="0" borderId="97" xfId="2" applyNumberFormat="1" applyFont="1" applyFill="1" applyBorder="1" applyAlignment="1">
      <alignment horizontal="center"/>
    </xf>
    <xf numFmtId="10" fontId="21" fillId="0" borderId="81" xfId="2" applyNumberFormat="1" applyFont="1" applyFill="1" applyBorder="1" applyAlignment="1">
      <alignment horizontal="center"/>
    </xf>
    <xf numFmtId="10" fontId="13" fillId="0" borderId="98" xfId="2" applyNumberFormat="1" applyFont="1" applyFill="1" applyBorder="1" applyAlignment="1">
      <alignment horizontal="center"/>
    </xf>
    <xf numFmtId="10" fontId="13" fillId="3" borderId="34" xfId="2" applyNumberFormat="1" applyFont="1" applyFill="1" applyBorder="1" applyAlignment="1" applyProtection="1">
      <alignment horizontal="center"/>
      <protection locked="0"/>
    </xf>
    <xf numFmtId="10" fontId="13" fillId="3" borderId="13" xfId="2" applyNumberFormat="1" applyFont="1" applyFill="1" applyBorder="1" applyAlignment="1" applyProtection="1">
      <alignment horizontal="center"/>
      <protection locked="0"/>
    </xf>
    <xf numFmtId="3" fontId="17" fillId="3" borderId="36" xfId="1" applyNumberFormat="1" applyFont="1" applyFill="1" applyBorder="1" applyAlignment="1">
      <alignment horizontal="right"/>
    </xf>
    <xf numFmtId="3" fontId="17" fillId="3" borderId="64" xfId="1" applyNumberFormat="1" applyFont="1" applyFill="1" applyBorder="1" applyAlignment="1">
      <alignment horizontal="right"/>
    </xf>
    <xf numFmtId="3" fontId="17" fillId="3" borderId="13" xfId="1" applyNumberFormat="1" applyFont="1" applyFill="1" applyBorder="1" applyAlignment="1">
      <alignment horizontal="right"/>
    </xf>
    <xf numFmtId="10" fontId="13" fillId="3" borderId="36" xfId="2" applyNumberFormat="1" applyFont="1" applyFill="1" applyBorder="1" applyAlignment="1">
      <alignment horizontal="center"/>
    </xf>
    <xf numFmtId="10" fontId="13" fillId="3" borderId="25" xfId="2" applyNumberFormat="1" applyFont="1" applyFill="1" applyBorder="1" applyAlignment="1">
      <alignment horizontal="center"/>
    </xf>
    <xf numFmtId="3" fontId="17" fillId="3" borderId="96" xfId="1" applyNumberFormat="1" applyFont="1" applyFill="1" applyBorder="1" applyAlignment="1">
      <alignment horizontal="right"/>
    </xf>
    <xf numFmtId="3" fontId="23" fillId="3" borderId="0" xfId="0" applyNumberFormat="1" applyFont="1" applyFill="1" applyAlignment="1">
      <alignment horizontal="right"/>
    </xf>
    <xf numFmtId="3" fontId="17" fillId="3" borderId="17" xfId="1" applyNumberFormat="1" applyFont="1" applyFill="1" applyBorder="1" applyAlignment="1">
      <alignment horizontal="right"/>
    </xf>
    <xf numFmtId="3" fontId="17" fillId="3" borderId="18" xfId="1" applyNumberFormat="1" applyFont="1" applyFill="1" applyBorder="1" applyAlignment="1">
      <alignment horizontal="right"/>
    </xf>
    <xf numFmtId="168" fontId="13" fillId="3" borderId="118" xfId="1" applyNumberFormat="1" applyFont="1" applyFill="1" applyBorder="1" applyAlignment="1">
      <alignment horizontal="left"/>
    </xf>
    <xf numFmtId="164" fontId="36" fillId="3" borderId="31" xfId="1" applyNumberFormat="1" applyFont="1" applyFill="1" applyBorder="1" applyAlignment="1">
      <alignment horizontal="right"/>
    </xf>
    <xf numFmtId="3" fontId="17" fillId="3" borderId="69" xfId="1" applyNumberFormat="1" applyFont="1" applyFill="1" applyBorder="1" applyAlignment="1">
      <alignment horizontal="right"/>
    </xf>
    <xf numFmtId="3" fontId="13" fillId="3" borderId="0" xfId="1" applyNumberFormat="1" applyFont="1" applyFill="1" applyBorder="1" applyAlignment="1">
      <alignment horizontal="right"/>
    </xf>
    <xf numFmtId="164" fontId="36" fillId="3" borderId="21" xfId="1" applyNumberFormat="1" applyFont="1" applyFill="1" applyBorder="1" applyAlignment="1"/>
    <xf numFmtId="168" fontId="13" fillId="3" borderId="121" xfId="1" applyNumberFormat="1" applyFont="1" applyFill="1" applyBorder="1" applyAlignment="1">
      <alignment horizontal="left"/>
    </xf>
    <xf numFmtId="3" fontId="17" fillId="3" borderId="44" xfId="1" applyNumberFormat="1" applyFont="1" applyFill="1" applyBorder="1" applyAlignment="1">
      <alignment horizontal="right"/>
    </xf>
    <xf numFmtId="10" fontId="13" fillId="3" borderId="13" xfId="2" applyNumberFormat="1" applyFont="1" applyFill="1" applyBorder="1" applyAlignment="1">
      <alignment horizontal="center"/>
    </xf>
    <xf numFmtId="3" fontId="17" fillId="3" borderId="57" xfId="1" applyNumberFormat="1" applyFont="1" applyFill="1" applyBorder="1" applyAlignment="1">
      <alignment horizontal="right"/>
    </xf>
    <xf numFmtId="0" fontId="43" fillId="4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17" fontId="5" fillId="7" borderId="12" xfId="0" applyNumberFormat="1" applyFont="1" applyFill="1" applyBorder="1" applyAlignment="1">
      <alignment horizontal="center" vertical="center"/>
    </xf>
    <xf numFmtId="17" fontId="5" fillId="7" borderId="122" xfId="0" applyNumberFormat="1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/>
    </xf>
    <xf numFmtId="10" fontId="43" fillId="0" borderId="121" xfId="2" applyNumberFormat="1" applyFont="1" applyFill="1" applyBorder="1" applyAlignment="1">
      <alignment horizontal="center"/>
    </xf>
    <xf numFmtId="10" fontId="43" fillId="0" borderId="123" xfId="2" applyNumberFormat="1" applyFont="1" applyFill="1" applyBorder="1" applyAlignment="1">
      <alignment horizontal="center"/>
    </xf>
    <xf numFmtId="10" fontId="43" fillId="0" borderId="66" xfId="2" applyNumberFormat="1" applyFont="1" applyFill="1" applyBorder="1" applyAlignment="1">
      <alignment horizontal="center"/>
    </xf>
    <xf numFmtId="10" fontId="5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5" fillId="0" borderId="25" xfId="0" applyFont="1" applyFill="1" applyBorder="1" applyAlignment="1">
      <alignment horizontal="center"/>
    </xf>
    <xf numFmtId="10" fontId="43" fillId="0" borderId="64" xfId="2" applyNumberFormat="1" applyFont="1" applyFill="1" applyBorder="1" applyAlignment="1">
      <alignment horizontal="center"/>
    </xf>
    <xf numFmtId="10" fontId="43" fillId="0" borderId="124" xfId="2" applyNumberFormat="1" applyFont="1" applyFill="1" applyBorder="1" applyAlignment="1">
      <alignment horizontal="center"/>
    </xf>
    <xf numFmtId="10" fontId="43" fillId="0" borderId="68" xfId="2" applyNumberFormat="1" applyFont="1" applyFill="1" applyBorder="1" applyAlignment="1">
      <alignment horizontal="center"/>
    </xf>
    <xf numFmtId="10" fontId="43" fillId="4" borderId="0" xfId="0" applyNumberFormat="1" applyFont="1" applyFill="1" applyAlignment="1">
      <alignment horizontal="center"/>
    </xf>
    <xf numFmtId="0" fontId="5" fillId="7" borderId="48" xfId="0" applyFont="1" applyFill="1" applyBorder="1" applyAlignment="1">
      <alignment horizontal="center"/>
    </xf>
    <xf numFmtId="10" fontId="47" fillId="7" borderId="82" xfId="2" applyNumberFormat="1" applyFont="1" applyFill="1" applyBorder="1" applyAlignment="1">
      <alignment horizontal="center"/>
    </xf>
    <xf numFmtId="10" fontId="46" fillId="7" borderId="125" xfId="2" applyNumberFormat="1" applyFont="1" applyFill="1" applyBorder="1" applyAlignment="1">
      <alignment horizontal="center"/>
    </xf>
    <xf numFmtId="10" fontId="47" fillId="7" borderId="125" xfId="2" applyNumberFormat="1" applyFont="1" applyFill="1" applyBorder="1" applyAlignment="1">
      <alignment horizontal="center"/>
    </xf>
    <xf numFmtId="10" fontId="48" fillId="7" borderId="125" xfId="2" applyNumberFormat="1" applyFont="1" applyFill="1" applyBorder="1" applyAlignment="1">
      <alignment horizontal="center"/>
    </xf>
    <xf numFmtId="10" fontId="49" fillId="7" borderId="91" xfId="2" applyNumberFormat="1" applyFont="1" applyFill="1" applyBorder="1" applyAlignment="1">
      <alignment horizontal="center"/>
    </xf>
    <xf numFmtId="10" fontId="50" fillId="0" borderId="123" xfId="2" applyNumberFormat="1" applyFont="1" applyFill="1" applyBorder="1" applyAlignment="1">
      <alignment horizontal="center"/>
    </xf>
    <xf numFmtId="10" fontId="46" fillId="7" borderId="82" xfId="2" applyNumberFormat="1" applyFont="1" applyFill="1" applyBorder="1" applyAlignment="1">
      <alignment horizontal="center"/>
    </xf>
    <xf numFmtId="10" fontId="51" fillId="7" borderId="91" xfId="2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10" fontId="50" fillId="0" borderId="121" xfId="2" applyNumberFormat="1" applyFont="1" applyFill="1" applyBorder="1" applyAlignment="1">
      <alignment horizontal="center"/>
    </xf>
    <xf numFmtId="10" fontId="48" fillId="7" borderId="48" xfId="2" applyNumberFormat="1" applyFont="1" applyFill="1" applyBorder="1" applyAlignment="1">
      <alignment horizontal="center"/>
    </xf>
    <xf numFmtId="10" fontId="53" fillId="7" borderId="125" xfId="2" applyNumberFormat="1" applyFont="1" applyFill="1" applyBorder="1" applyAlignment="1">
      <alignment horizontal="center"/>
    </xf>
    <xf numFmtId="10" fontId="47" fillId="7" borderId="48" xfId="2" applyNumberFormat="1" applyFont="1" applyFill="1" applyBorder="1" applyAlignment="1">
      <alignment horizontal="center"/>
    </xf>
    <xf numFmtId="17" fontId="5" fillId="7" borderId="126" xfId="0" applyNumberFormat="1" applyFont="1" applyFill="1" applyBorder="1" applyAlignment="1">
      <alignment horizontal="center" vertical="center"/>
    </xf>
    <xf numFmtId="0" fontId="5" fillId="7" borderId="120" xfId="0" applyFont="1" applyFill="1" applyBorder="1" applyAlignment="1">
      <alignment horizontal="center" vertical="center"/>
    </xf>
    <xf numFmtId="2" fontId="43" fillId="0" borderId="15" xfId="2" applyNumberFormat="1" applyFont="1" applyFill="1" applyBorder="1" applyAlignment="1">
      <alignment horizontal="center"/>
    </xf>
    <xf numFmtId="2" fontId="43" fillId="4" borderId="15" xfId="0" applyNumberFormat="1" applyFont="1" applyFill="1" applyBorder="1" applyAlignment="1">
      <alignment horizontal="center"/>
    </xf>
    <xf numFmtId="0" fontId="47" fillId="7" borderId="15" xfId="2" applyNumberFormat="1" applyFont="1" applyFill="1" applyBorder="1" applyAlignment="1">
      <alignment horizontal="center"/>
    </xf>
    <xf numFmtId="0" fontId="48" fillId="7" borderId="15" xfId="2" applyNumberFormat="1" applyFont="1" applyFill="1" applyBorder="1" applyAlignment="1">
      <alignment horizontal="center"/>
    </xf>
    <xf numFmtId="2" fontId="47" fillId="7" borderId="15" xfId="2" applyNumberFormat="1" applyFont="1" applyFill="1" applyBorder="1" applyAlignment="1">
      <alignment horizontal="center"/>
    </xf>
    <xf numFmtId="2" fontId="48" fillId="7" borderId="15" xfId="2" applyNumberFormat="1" applyFont="1" applyFill="1" applyBorder="1" applyAlignment="1">
      <alignment horizontal="center"/>
    </xf>
    <xf numFmtId="2" fontId="50" fillId="0" borderId="15" xfId="2" applyNumberFormat="1" applyFont="1" applyFill="1" applyBorder="1" applyAlignment="1">
      <alignment horizontal="center"/>
    </xf>
    <xf numFmtId="2" fontId="5" fillId="7" borderId="48" xfId="0" applyNumberFormat="1" applyFont="1" applyFill="1" applyBorder="1" applyAlignment="1">
      <alignment horizontal="center"/>
    </xf>
    <xf numFmtId="2" fontId="54" fillId="7" borderId="15" xfId="2" applyNumberFormat="1" applyFont="1" applyFill="1" applyBorder="1" applyAlignment="1">
      <alignment horizontal="center"/>
    </xf>
    <xf numFmtId="2" fontId="5" fillId="7" borderId="15" xfId="2" applyNumberFormat="1" applyFont="1" applyFill="1" applyBorder="1" applyAlignment="1">
      <alignment horizontal="center"/>
    </xf>
    <xf numFmtId="2" fontId="43" fillId="4" borderId="0" xfId="0" applyNumberFormat="1" applyFont="1" applyFill="1" applyAlignment="1">
      <alignment horizontal="center"/>
    </xf>
    <xf numFmtId="0" fontId="5" fillId="7" borderId="41" xfId="0" applyFont="1" applyFill="1" applyBorder="1" applyAlignment="1">
      <alignment horizontal="center"/>
    </xf>
    <xf numFmtId="0" fontId="48" fillId="7" borderId="27" xfId="2" applyNumberFormat="1" applyFont="1" applyFill="1" applyBorder="1" applyAlignment="1">
      <alignment horizontal="center"/>
    </xf>
    <xf numFmtId="0" fontId="47" fillId="7" borderId="27" xfId="2" applyNumberFormat="1" applyFont="1" applyFill="1" applyBorder="1" applyAlignment="1">
      <alignment horizontal="center"/>
    </xf>
    <xf numFmtId="0" fontId="5" fillId="7" borderId="27" xfId="2" applyNumberFormat="1" applyFont="1" applyFill="1" applyBorder="1" applyAlignment="1">
      <alignment horizontal="center"/>
    </xf>
    <xf numFmtId="2" fontId="48" fillId="7" borderId="27" xfId="2" applyNumberFormat="1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48" fillId="8" borderId="0" xfId="2" applyNumberFormat="1" applyFont="1" applyFill="1" applyBorder="1" applyAlignment="1">
      <alignment horizontal="center"/>
    </xf>
    <xf numFmtId="0" fontId="47" fillId="8" borderId="0" xfId="2" applyNumberFormat="1" applyFont="1" applyFill="1" applyBorder="1" applyAlignment="1">
      <alignment horizontal="center"/>
    </xf>
    <xf numFmtId="0" fontId="5" fillId="8" borderId="0" xfId="2" applyNumberFormat="1" applyFont="1" applyFill="1" applyBorder="1" applyAlignment="1">
      <alignment horizontal="center"/>
    </xf>
    <xf numFmtId="2" fontId="47" fillId="8" borderId="0" xfId="2" applyNumberFormat="1" applyFont="1" applyFill="1" applyBorder="1" applyAlignment="1">
      <alignment horizontal="center"/>
    </xf>
    <xf numFmtId="0" fontId="42" fillId="9" borderId="28" xfId="0" applyFont="1" applyFill="1" applyBorder="1"/>
    <xf numFmtId="17" fontId="55" fillId="9" borderId="16" xfId="0" applyNumberFormat="1" applyFont="1" applyFill="1" applyBorder="1" applyAlignment="1">
      <alignment horizontal="center"/>
    </xf>
    <xf numFmtId="0" fontId="55" fillId="9" borderId="27" xfId="0" applyNumberFormat="1" applyFont="1" applyFill="1" applyBorder="1" applyAlignment="1">
      <alignment horizontal="center"/>
    </xf>
    <xf numFmtId="0" fontId="42" fillId="9" borderId="36" xfId="0" applyFont="1" applyFill="1" applyBorder="1"/>
    <xf numFmtId="10" fontId="56" fillId="8" borderId="0" xfId="2" applyNumberFormat="1" applyFont="1" applyFill="1" applyBorder="1" applyAlignment="1">
      <alignment horizontal="center"/>
    </xf>
    <xf numFmtId="10" fontId="0" fillId="8" borderId="23" xfId="2" applyNumberFormat="1" applyFont="1" applyFill="1" applyBorder="1" applyAlignment="1">
      <alignment horizontal="center"/>
    </xf>
    <xf numFmtId="10" fontId="56" fillId="10" borderId="0" xfId="2" applyNumberFormat="1" applyFont="1" applyFill="1" applyBorder="1" applyAlignment="1">
      <alignment horizontal="center"/>
    </xf>
    <xf numFmtId="10" fontId="0" fillId="10" borderId="23" xfId="2" applyNumberFormat="1" applyFont="1" applyFill="1" applyBorder="1" applyAlignment="1">
      <alignment horizontal="center"/>
    </xf>
    <xf numFmtId="0" fontId="42" fillId="9" borderId="13" xfId="0" applyFont="1" applyFill="1" applyBorder="1"/>
    <xf numFmtId="10" fontId="56" fillId="8" borderId="46" xfId="2" applyNumberFormat="1" applyFont="1" applyFill="1" applyBorder="1" applyAlignment="1">
      <alignment horizontal="center"/>
    </xf>
    <xf numFmtId="10" fontId="0" fillId="8" borderId="49" xfId="2" applyNumberFormat="1" applyFont="1" applyFill="1" applyBorder="1" applyAlignment="1">
      <alignment horizontal="center"/>
    </xf>
    <xf numFmtId="0" fontId="43" fillId="8" borderId="0" xfId="0" applyFont="1" applyFill="1" applyAlignment="1">
      <alignment horizontal="center"/>
    </xf>
    <xf numFmtId="2" fontId="58" fillId="7" borderId="15" xfId="2" applyNumberFormat="1" applyFont="1" applyFill="1" applyBorder="1" applyAlignment="1">
      <alignment horizontal="center"/>
    </xf>
    <xf numFmtId="2" fontId="53" fillId="7" borderId="15" xfId="2" applyNumberFormat="1" applyFont="1" applyFill="1" applyBorder="1" applyAlignment="1">
      <alignment horizontal="center"/>
    </xf>
    <xf numFmtId="0" fontId="59" fillId="7" borderId="15" xfId="2" applyNumberFormat="1" applyFont="1" applyFill="1" applyBorder="1" applyAlignment="1">
      <alignment horizontal="center"/>
    </xf>
    <xf numFmtId="0" fontId="58" fillId="7" borderId="15" xfId="2" applyNumberFormat="1" applyFont="1" applyFill="1" applyBorder="1" applyAlignment="1">
      <alignment horizontal="center"/>
    </xf>
    <xf numFmtId="0" fontId="5" fillId="8" borderId="41" xfId="0" applyFont="1" applyFill="1" applyBorder="1" applyAlignment="1">
      <alignment horizontal="center"/>
    </xf>
    <xf numFmtId="0" fontId="48" fillId="8" borderId="36" xfId="2" applyNumberFormat="1" applyFont="1" applyFill="1" applyBorder="1" applyAlignment="1">
      <alignment horizontal="center"/>
    </xf>
    <xf numFmtId="0" fontId="47" fillId="8" borderId="36" xfId="2" applyNumberFormat="1" applyFont="1" applyFill="1" applyBorder="1" applyAlignment="1">
      <alignment horizontal="center"/>
    </xf>
    <xf numFmtId="0" fontId="59" fillId="8" borderId="36" xfId="2" applyNumberFormat="1" applyFont="1" applyFill="1" applyBorder="1" applyAlignment="1">
      <alignment horizontal="center"/>
    </xf>
    <xf numFmtId="0" fontId="58" fillId="8" borderId="36" xfId="2" applyNumberFormat="1" applyFont="1" applyFill="1" applyBorder="1" applyAlignment="1">
      <alignment horizontal="center"/>
    </xf>
    <xf numFmtId="2" fontId="47" fillId="8" borderId="36" xfId="2" applyNumberFormat="1" applyFont="1" applyFill="1" applyBorder="1" applyAlignment="1">
      <alignment horizontal="center"/>
    </xf>
    <xf numFmtId="2" fontId="53" fillId="8" borderId="35" xfId="2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0" fontId="43" fillId="0" borderId="0" xfId="2" applyNumberFormat="1" applyFont="1" applyFill="1" applyBorder="1" applyAlignment="1">
      <alignment horizontal="center"/>
    </xf>
    <xf numFmtId="2" fontId="59" fillId="7" borderId="15" xfId="2" applyNumberFormat="1" applyFont="1" applyFill="1" applyBorder="1" applyAlignment="1">
      <alignment horizontal="center"/>
    </xf>
    <xf numFmtId="9" fontId="6" fillId="0" borderId="46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26" fillId="0" borderId="0" xfId="0" applyFont="1" applyFill="1"/>
    <xf numFmtId="0" fontId="26" fillId="0" borderId="0" xfId="0" applyFont="1"/>
    <xf numFmtId="170" fontId="60" fillId="0" borderId="0" xfId="0" applyNumberFormat="1" applyFont="1" applyFill="1"/>
    <xf numFmtId="10" fontId="7" fillId="0" borderId="0" xfId="2" applyNumberFormat="1" applyFont="1" applyFill="1"/>
    <xf numFmtId="10" fontId="26" fillId="0" borderId="0" xfId="0" applyNumberFormat="1" applyFont="1" applyFill="1"/>
    <xf numFmtId="4" fontId="26" fillId="0" borderId="0" xfId="0" applyNumberFormat="1" applyFont="1" applyAlignment="1">
      <alignment horizontal="right"/>
    </xf>
    <xf numFmtId="10" fontId="61" fillId="2" borderId="0" xfId="0" applyNumberFormat="1" applyFont="1" applyFill="1"/>
    <xf numFmtId="4" fontId="26" fillId="0" borderId="0" xfId="0" applyNumberFormat="1" applyFont="1"/>
    <xf numFmtId="0" fontId="26" fillId="0" borderId="0" xfId="0" applyFont="1" applyFill="1" applyAlignment="1">
      <alignment horizontal="left"/>
    </xf>
    <xf numFmtId="4" fontId="26" fillId="0" borderId="0" xfId="0" applyNumberFormat="1" applyFont="1" applyFill="1"/>
    <xf numFmtId="10" fontId="7" fillId="0" borderId="0" xfId="2" applyNumberFormat="1" applyFont="1"/>
    <xf numFmtId="10" fontId="26" fillId="0" borderId="0" xfId="0" applyNumberFormat="1" applyFont="1"/>
    <xf numFmtId="0" fontId="17" fillId="0" borderId="0" xfId="0" applyFont="1" applyFill="1"/>
    <xf numFmtId="10" fontId="7" fillId="11" borderId="0" xfId="2" applyNumberFormat="1" applyFont="1" applyFill="1"/>
    <xf numFmtId="0" fontId="26" fillId="11" borderId="0" xfId="0" applyFont="1" applyFill="1"/>
    <xf numFmtId="10" fontId="13" fillId="0" borderId="0" xfId="2" applyNumberFormat="1" applyFont="1" applyFill="1"/>
    <xf numFmtId="0" fontId="13" fillId="0" borderId="0" xfId="0" applyFont="1" applyFill="1"/>
    <xf numFmtId="0" fontId="26" fillId="0" borderId="35" xfId="0" applyFont="1" applyBorder="1"/>
    <xf numFmtId="43" fontId="26" fillId="0" borderId="0" xfId="0" applyNumberFormat="1" applyFont="1"/>
    <xf numFmtId="10" fontId="13" fillId="11" borderId="0" xfId="2" applyNumberFormat="1" applyFont="1" applyFill="1"/>
    <xf numFmtId="0" fontId="7" fillId="11" borderId="0" xfId="0" applyFont="1" applyFill="1"/>
    <xf numFmtId="0" fontId="62" fillId="12" borderId="0" xfId="0" applyFont="1" applyFill="1"/>
    <xf numFmtId="0" fontId="63" fillId="0" borderId="0" xfId="0" applyFont="1"/>
    <xf numFmtId="0" fontId="6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165" fontId="6" fillId="0" borderId="6" xfId="2" applyNumberFormat="1" applyFont="1" applyFill="1" applyBorder="1" applyAlignment="1">
      <alignment horizontal="center" vertical="center"/>
    </xf>
    <xf numFmtId="165" fontId="13" fillId="0" borderId="2" xfId="2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distributed"/>
    </xf>
    <xf numFmtId="0" fontId="0" fillId="0" borderId="106" xfId="0" applyFill="1" applyBorder="1"/>
    <xf numFmtId="0" fontId="0" fillId="0" borderId="42" xfId="0" applyFill="1" applyBorder="1"/>
    <xf numFmtId="164" fontId="0" fillId="0" borderId="36" xfId="1" applyNumberFormat="1" applyFont="1" applyFill="1" applyBorder="1" applyAlignment="1">
      <alignment horizontal="center"/>
    </xf>
    <xf numFmtId="164" fontId="3" fillId="0" borderId="44" xfId="1" applyNumberFormat="1" applyFont="1" applyFill="1" applyBorder="1"/>
    <xf numFmtId="165" fontId="3" fillId="0" borderId="114" xfId="0" applyNumberFormat="1" applyFont="1" applyFill="1" applyBorder="1" applyAlignment="1">
      <alignment horizontal="center"/>
    </xf>
    <xf numFmtId="165" fontId="11" fillId="0" borderId="10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6" fillId="0" borderId="120" xfId="0" applyFont="1" applyFill="1" applyBorder="1" applyAlignment="1">
      <alignment horizontal="center" vertical="center" wrapText="1"/>
    </xf>
    <xf numFmtId="164" fontId="44" fillId="0" borderId="2" xfId="0" applyNumberFormat="1" applyFont="1" applyFill="1" applyBorder="1" applyAlignment="1">
      <alignment horizontal="center" vertical="center"/>
    </xf>
    <xf numFmtId="164" fontId="36" fillId="3" borderId="5" xfId="1" applyNumberFormat="1" applyFont="1" applyFill="1" applyBorder="1"/>
    <xf numFmtId="164" fontId="36" fillId="3" borderId="20" xfId="1" applyNumberFormat="1" applyFont="1" applyFill="1" applyBorder="1"/>
    <xf numFmtId="164" fontId="36" fillId="3" borderId="32" xfId="1" applyNumberFormat="1" applyFont="1" applyFill="1" applyBorder="1"/>
    <xf numFmtId="164" fontId="36" fillId="3" borderId="90" xfId="1" applyNumberFormat="1" applyFont="1" applyFill="1" applyBorder="1"/>
    <xf numFmtId="164" fontId="44" fillId="0" borderId="8" xfId="0" applyNumberFormat="1" applyFont="1" applyFill="1" applyBorder="1" applyAlignment="1">
      <alignment horizontal="center" vertical="center"/>
    </xf>
    <xf numFmtId="164" fontId="36" fillId="3" borderId="52" xfId="1" applyNumberFormat="1" applyFont="1" applyFill="1" applyBorder="1"/>
    <xf numFmtId="164" fontId="36" fillId="3" borderId="78" xfId="1" applyNumberFormat="1" applyFont="1" applyFill="1" applyBorder="1"/>
    <xf numFmtId="164" fontId="36" fillId="3" borderId="43" xfId="1" applyNumberFormat="1" applyFont="1" applyFill="1" applyBorder="1" applyAlignment="1"/>
    <xf numFmtId="164" fontId="36" fillId="3" borderId="38" xfId="1" applyNumberFormat="1" applyFont="1" applyFill="1" applyBorder="1" applyAlignment="1"/>
    <xf numFmtId="164" fontId="44" fillId="0" borderId="110" xfId="0" applyNumberFormat="1" applyFont="1" applyFill="1" applyBorder="1" applyAlignment="1">
      <alignment horizontal="center" vertical="center"/>
    </xf>
    <xf numFmtId="164" fontId="36" fillId="3" borderId="29" xfId="1" applyNumberFormat="1" applyFont="1" applyFill="1" applyBorder="1"/>
    <xf numFmtId="164" fontId="44" fillId="0" borderId="31" xfId="1" applyNumberFormat="1" applyFont="1" applyFill="1" applyBorder="1"/>
    <xf numFmtId="0" fontId="0" fillId="0" borderId="0" xfId="0" applyFont="1" applyFill="1"/>
    <xf numFmtId="10" fontId="5" fillId="0" borderId="0" xfId="2" applyNumberFormat="1" applyFont="1" applyFill="1"/>
    <xf numFmtId="10" fontId="0" fillId="0" borderId="0" xfId="0" applyNumberFormat="1" applyFont="1" applyFill="1"/>
    <xf numFmtId="4" fontId="0" fillId="0" borderId="0" xfId="0" applyNumberFormat="1" applyFont="1" applyFill="1"/>
    <xf numFmtId="10" fontId="0" fillId="0" borderId="0" xfId="0" applyNumberFormat="1" applyFont="1"/>
    <xf numFmtId="4" fontId="30" fillId="0" borderId="0" xfId="0" applyNumberFormat="1" applyFont="1" applyFill="1"/>
    <xf numFmtId="4" fontId="64" fillId="12" borderId="0" xfId="0" applyNumberFormat="1" applyFont="1" applyFill="1"/>
    <xf numFmtId="10" fontId="5" fillId="12" borderId="0" xfId="2" applyNumberFormat="1" applyFont="1" applyFill="1"/>
    <xf numFmtId="4" fontId="64" fillId="11" borderId="0" xfId="0" applyNumberFormat="1" applyFont="1" applyFill="1"/>
    <xf numFmtId="10" fontId="0" fillId="11" borderId="0" xfId="0" applyNumberFormat="1" applyFont="1" applyFill="1"/>
    <xf numFmtId="4" fontId="0" fillId="11" borderId="0" xfId="0" applyNumberFormat="1" applyFont="1" applyFill="1"/>
    <xf numFmtId="164" fontId="0" fillId="0" borderId="0" xfId="0" applyNumberFormat="1" applyFont="1" applyFill="1"/>
    <xf numFmtId="43" fontId="0" fillId="0" borderId="0" xfId="0" applyNumberFormat="1" applyFont="1" applyFill="1"/>
    <xf numFmtId="164" fontId="64" fillId="0" borderId="15" xfId="0" applyNumberFormat="1" applyFont="1" applyFill="1" applyBorder="1"/>
    <xf numFmtId="4" fontId="36" fillId="0" borderId="8" xfId="1" applyNumberFormat="1" applyFont="1" applyFill="1" applyBorder="1"/>
    <xf numFmtId="4" fontId="36" fillId="0" borderId="0" xfId="1" applyNumberFormat="1" applyFont="1" applyFill="1" applyBorder="1"/>
    <xf numFmtId="4" fontId="36" fillId="0" borderId="2" xfId="1" applyNumberFormat="1" applyFont="1" applyFill="1" applyBorder="1"/>
    <xf numFmtId="4" fontId="36" fillId="0" borderId="46" xfId="1" applyNumberFormat="1" applyFont="1" applyFill="1" applyBorder="1" applyAlignment="1">
      <alignment horizontal="right"/>
    </xf>
    <xf numFmtId="4" fontId="36" fillId="3" borderId="46" xfId="1" applyNumberFormat="1" applyFont="1" applyFill="1" applyBorder="1"/>
    <xf numFmtId="10" fontId="13" fillId="0" borderId="53" xfId="2" applyNumberFormat="1" applyFont="1" applyFill="1" applyBorder="1" applyAlignment="1">
      <alignment horizontal="center"/>
    </xf>
    <xf numFmtId="164" fontId="14" fillId="3" borderId="21" xfId="1" applyNumberFormat="1" applyFont="1" applyFill="1" applyBorder="1"/>
    <xf numFmtId="164" fontId="14" fillId="3" borderId="32" xfId="1" applyNumberFormat="1" applyFont="1" applyFill="1" applyBorder="1"/>
    <xf numFmtId="0" fontId="8" fillId="0" borderId="2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9" fontId="6" fillId="0" borderId="46" xfId="0" applyNumberFormat="1" applyFont="1" applyFill="1" applyBorder="1" applyAlignment="1">
      <alignment horizontal="center" vertical="center"/>
    </xf>
    <xf numFmtId="9" fontId="6" fillId="0" borderId="50" xfId="0" applyNumberFormat="1" applyFont="1" applyFill="1" applyBorder="1" applyAlignment="1">
      <alignment horizontal="center" vertical="center"/>
    </xf>
    <xf numFmtId="165" fontId="6" fillId="0" borderId="46" xfId="2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65" fontId="13" fillId="13" borderId="66" xfId="2" applyNumberFormat="1" applyFont="1" applyFill="1" applyBorder="1" applyAlignment="1">
      <alignment horizontal="center"/>
    </xf>
    <xf numFmtId="10" fontId="13" fillId="13" borderId="94" xfId="2" applyNumberFormat="1" applyFont="1" applyFill="1" applyBorder="1" applyAlignment="1">
      <alignment horizontal="center"/>
    </xf>
    <xf numFmtId="4" fontId="36" fillId="0" borderId="46" xfId="1" applyNumberFormat="1" applyFont="1" applyFill="1" applyBorder="1"/>
    <xf numFmtId="3" fontId="23" fillId="0" borderId="0" xfId="0" applyNumberFormat="1" applyFont="1" applyFill="1" applyAlignment="1">
      <alignment horizontal="right"/>
    </xf>
    <xf numFmtId="164" fontId="36" fillId="0" borderId="43" xfId="1" applyNumberFormat="1" applyFont="1" applyFill="1" applyBorder="1" applyAlignment="1"/>
    <xf numFmtId="3" fontId="17" fillId="0" borderId="79" xfId="1" applyNumberFormat="1" applyFont="1" applyFill="1" applyBorder="1" applyAlignment="1">
      <alignment horizontal="right"/>
    </xf>
    <xf numFmtId="4" fontId="31" fillId="0" borderId="0" xfId="0" applyNumberFormat="1" applyFont="1" applyFill="1" applyAlignment="1">
      <alignment horizontal="right"/>
    </xf>
    <xf numFmtId="4" fontId="64" fillId="0" borderId="0" xfId="0" applyNumberFormat="1" applyFont="1" applyFill="1"/>
    <xf numFmtId="0" fontId="63" fillId="0" borderId="0" xfId="0" applyFont="1" applyFill="1"/>
    <xf numFmtId="43" fontId="26" fillId="0" borderId="0" xfId="0" applyNumberFormat="1" applyFont="1" applyFill="1"/>
    <xf numFmtId="0" fontId="6" fillId="0" borderId="37" xfId="0" applyFont="1" applyFill="1" applyBorder="1" applyAlignment="1"/>
    <xf numFmtId="164" fontId="13" fillId="0" borderId="0" xfId="1" applyNumberFormat="1" applyFont="1" applyFill="1" applyBorder="1" applyAlignment="1"/>
    <xf numFmtId="164" fontId="13" fillId="0" borderId="0" xfId="1" applyNumberFormat="1" applyFont="1" applyFill="1" applyBorder="1"/>
    <xf numFmtId="0" fontId="14" fillId="0" borderId="61" xfId="0" applyFont="1" applyFill="1" applyBorder="1"/>
    <xf numFmtId="10" fontId="13" fillId="0" borderId="127" xfId="2" applyNumberFormat="1" applyFont="1" applyFill="1" applyBorder="1" applyAlignment="1">
      <alignment horizontal="center"/>
    </xf>
    <xf numFmtId="3" fontId="17" fillId="3" borderId="127" xfId="1" applyNumberFormat="1" applyFont="1" applyFill="1" applyBorder="1" applyAlignment="1"/>
    <xf numFmtId="164" fontId="14" fillId="3" borderId="38" xfId="1" applyNumberFormat="1" applyFont="1" applyFill="1" applyBorder="1" applyAlignment="1"/>
    <xf numFmtId="168" fontId="13" fillId="3" borderId="82" xfId="1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9" fontId="6" fillId="0" borderId="50" xfId="0" applyNumberFormat="1" applyFont="1" applyFill="1" applyBorder="1" applyAlignment="1">
      <alignment horizontal="center" vertical="center"/>
    </xf>
    <xf numFmtId="9" fontId="6" fillId="0" borderId="46" xfId="0" applyNumberFormat="1" applyFont="1" applyFill="1" applyBorder="1" applyAlignment="1">
      <alignment horizontal="center" vertical="center"/>
    </xf>
    <xf numFmtId="165" fontId="6" fillId="0" borderId="46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9" fontId="6" fillId="0" borderId="46" xfId="0" applyNumberFormat="1" applyFont="1" applyFill="1" applyBorder="1" applyAlignment="1">
      <alignment horizontal="center" vertical="center"/>
    </xf>
    <xf numFmtId="9" fontId="6" fillId="0" borderId="50" xfId="0" applyNumberFormat="1" applyFont="1" applyFill="1" applyBorder="1" applyAlignment="1">
      <alignment horizontal="center" vertical="center"/>
    </xf>
    <xf numFmtId="165" fontId="6" fillId="0" borderId="46" xfId="2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/>
    </xf>
    <xf numFmtId="165" fontId="6" fillId="0" borderId="8" xfId="2" applyNumberFormat="1" applyFont="1" applyFill="1" applyBorder="1" applyAlignment="1">
      <alignment horizontal="left"/>
    </xf>
    <xf numFmtId="10" fontId="13" fillId="13" borderId="91" xfId="2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9" fontId="6" fillId="0" borderId="50" xfId="0" applyNumberFormat="1" applyFont="1" applyFill="1" applyBorder="1" applyAlignment="1">
      <alignment horizontal="center" vertical="center"/>
    </xf>
    <xf numFmtId="9" fontId="6" fillId="0" borderId="46" xfId="0" applyNumberFormat="1" applyFont="1" applyFill="1" applyBorder="1" applyAlignment="1">
      <alignment horizontal="center" vertical="center"/>
    </xf>
    <xf numFmtId="165" fontId="6" fillId="0" borderId="46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left"/>
    </xf>
    <xf numFmtId="164" fontId="36" fillId="0" borderId="21" xfId="1" applyNumberFormat="1" applyFont="1" applyFill="1" applyBorder="1" applyAlignment="1"/>
    <xf numFmtId="168" fontId="13" fillId="0" borderId="121" xfId="1" applyNumberFormat="1" applyFont="1" applyFill="1" applyBorder="1" applyAlignment="1">
      <alignment horizontal="left"/>
    </xf>
    <xf numFmtId="164" fontId="36" fillId="0" borderId="21" xfId="1" applyNumberFormat="1" applyFont="1" applyFill="1" applyBorder="1"/>
    <xf numFmtId="10" fontId="13" fillId="0" borderId="23" xfId="2" applyNumberFormat="1" applyFont="1" applyFill="1" applyBorder="1" applyAlignment="1">
      <alignment horizontal="center"/>
    </xf>
    <xf numFmtId="164" fontId="36" fillId="0" borderId="37" xfId="1" applyNumberFormat="1" applyFont="1" applyFill="1" applyBorder="1"/>
    <xf numFmtId="167" fontId="6" fillId="0" borderId="40" xfId="2" applyNumberFormat="1" applyFont="1" applyFill="1" applyBorder="1" applyAlignment="1"/>
    <xf numFmtId="164" fontId="36" fillId="0" borderId="19" xfId="1" applyNumberFormat="1" applyFont="1" applyFill="1" applyBorder="1"/>
    <xf numFmtId="10" fontId="13" fillId="0" borderId="86" xfId="2" applyNumberFormat="1" applyFont="1" applyFill="1" applyBorder="1" applyAlignment="1">
      <alignment horizontal="center"/>
    </xf>
    <xf numFmtId="10" fontId="13" fillId="0" borderId="113" xfId="2" applyNumberFormat="1" applyFont="1" applyFill="1" applyBorder="1" applyAlignment="1">
      <alignment horizontal="center"/>
    </xf>
    <xf numFmtId="164" fontId="36" fillId="0" borderId="43" xfId="1" applyNumberFormat="1" applyFont="1" applyFill="1" applyBorder="1"/>
    <xf numFmtId="164" fontId="36" fillId="0" borderId="10" xfId="1" applyNumberFormat="1" applyFont="1" applyFill="1" applyBorder="1"/>
    <xf numFmtId="10" fontId="13" fillId="0" borderId="105" xfId="2" applyNumberFormat="1" applyFont="1" applyFill="1" applyBorder="1" applyAlignment="1">
      <alignment horizontal="center"/>
    </xf>
    <xf numFmtId="164" fontId="36" fillId="0" borderId="5" xfId="1" applyNumberFormat="1" applyFont="1" applyFill="1" applyBorder="1"/>
    <xf numFmtId="3" fontId="17" fillId="0" borderId="127" xfId="1" applyNumberFormat="1" applyFont="1" applyFill="1" applyBorder="1" applyAlignment="1"/>
    <xf numFmtId="3" fontId="17" fillId="0" borderId="64" xfId="1" applyNumberFormat="1" applyFont="1" applyFill="1" applyBorder="1" applyAlignment="1">
      <alignment horizontal="right"/>
    </xf>
    <xf numFmtId="10" fontId="13" fillId="0" borderId="63" xfId="2" applyNumberFormat="1" applyFont="1" applyFill="1" applyBorder="1" applyAlignment="1">
      <alignment horizontal="center"/>
    </xf>
    <xf numFmtId="3" fontId="17" fillId="0" borderId="63" xfId="1" applyNumberFormat="1" applyFont="1" applyFill="1" applyBorder="1" applyAlignment="1"/>
    <xf numFmtId="168" fontId="13" fillId="0" borderId="63" xfId="1" applyNumberFormat="1" applyFont="1" applyFill="1" applyBorder="1" applyAlignment="1"/>
    <xf numFmtId="164" fontId="36" fillId="0" borderId="74" xfId="1" applyNumberFormat="1" applyFont="1" applyFill="1" applyBorder="1"/>
    <xf numFmtId="3" fontId="17" fillId="0" borderId="41" xfId="1" applyNumberFormat="1" applyFont="1" applyFill="1" applyBorder="1" applyAlignment="1"/>
    <xf numFmtId="164" fontId="36" fillId="0" borderId="32" xfId="1" applyNumberFormat="1" applyFont="1" applyFill="1" applyBorder="1"/>
    <xf numFmtId="3" fontId="17" fillId="0" borderId="73" xfId="1" applyNumberFormat="1" applyFont="1" applyFill="1" applyBorder="1" applyAlignment="1"/>
    <xf numFmtId="168" fontId="13" fillId="0" borderId="73" xfId="1" applyNumberFormat="1" applyFont="1" applyFill="1" applyBorder="1" applyAlignment="1">
      <alignment horizontal="right"/>
    </xf>
    <xf numFmtId="168" fontId="13" fillId="0" borderId="0" xfId="1" applyNumberFormat="1" applyFont="1" applyFill="1" applyBorder="1" applyAlignment="1"/>
    <xf numFmtId="164" fontId="36" fillId="0" borderId="20" xfId="1" applyNumberFormat="1" applyFont="1" applyFill="1" applyBorder="1"/>
    <xf numFmtId="3" fontId="17" fillId="0" borderId="63" xfId="1" applyNumberFormat="1" applyFont="1" applyFill="1" applyBorder="1" applyAlignment="1">
      <alignment horizontal="right"/>
    </xf>
    <xf numFmtId="168" fontId="13" fillId="0" borderId="63" xfId="1" applyNumberFormat="1" applyFont="1" applyFill="1" applyBorder="1" applyAlignment="1">
      <alignment horizontal="left"/>
    </xf>
    <xf numFmtId="168" fontId="13" fillId="0" borderId="64" xfId="1" applyNumberFormat="1" applyFont="1" applyFill="1" applyBorder="1" applyAlignment="1">
      <alignment horizontal="left"/>
    </xf>
    <xf numFmtId="3" fontId="17" fillId="0" borderId="22" xfId="1" applyNumberFormat="1" applyFont="1" applyFill="1" applyBorder="1" applyAlignment="1">
      <alignment horizontal="right"/>
    </xf>
    <xf numFmtId="168" fontId="13" fillId="0" borderId="41" xfId="1" applyNumberFormat="1" applyFont="1" applyFill="1" applyBorder="1" applyAlignment="1">
      <alignment horizontal="left"/>
    </xf>
    <xf numFmtId="164" fontId="36" fillId="0" borderId="31" xfId="1" applyNumberFormat="1" applyFont="1" applyFill="1" applyBorder="1"/>
    <xf numFmtId="164" fontId="36" fillId="0" borderId="52" xfId="1" applyNumberFormat="1" applyFont="1" applyFill="1" applyBorder="1"/>
    <xf numFmtId="10" fontId="13" fillId="0" borderId="34" xfId="2" applyNumberFormat="1" applyFont="1" applyFill="1" applyBorder="1" applyAlignment="1" applyProtection="1">
      <alignment horizontal="center"/>
      <protection locked="0"/>
    </xf>
    <xf numFmtId="164" fontId="36" fillId="0" borderId="78" xfId="1" applyNumberFormat="1" applyFont="1" applyFill="1" applyBorder="1"/>
    <xf numFmtId="10" fontId="13" fillId="0" borderId="13" xfId="2" applyNumberFormat="1" applyFont="1" applyFill="1" applyBorder="1" applyAlignment="1" applyProtection="1">
      <alignment horizontal="center"/>
      <protection locked="0"/>
    </xf>
    <xf numFmtId="3" fontId="17" fillId="0" borderId="96" xfId="1" applyNumberFormat="1" applyFont="1" applyFill="1" applyBorder="1" applyAlignment="1">
      <alignment horizontal="right"/>
    </xf>
    <xf numFmtId="164" fontId="36" fillId="0" borderId="38" xfId="1" applyNumberFormat="1" applyFont="1" applyFill="1" applyBorder="1" applyAlignment="1"/>
    <xf numFmtId="168" fontId="13" fillId="0" borderId="82" xfId="1" applyNumberFormat="1" applyFont="1" applyFill="1" applyBorder="1" applyAlignment="1">
      <alignment horizontal="left"/>
    </xf>
    <xf numFmtId="3" fontId="17" fillId="0" borderId="69" xfId="1" applyNumberFormat="1" applyFont="1" applyFill="1" applyBorder="1" applyAlignment="1">
      <alignment horizontal="right"/>
    </xf>
    <xf numFmtId="10" fontId="13" fillId="0" borderId="56" xfId="2" applyNumberFormat="1" applyFont="1" applyFill="1" applyBorder="1" applyAlignment="1">
      <alignment horizontal="center"/>
    </xf>
    <xf numFmtId="3" fontId="17" fillId="0" borderId="44" xfId="1" applyNumberFormat="1" applyFont="1" applyFill="1" applyBorder="1" applyAlignment="1">
      <alignment horizontal="right"/>
    </xf>
    <xf numFmtId="10" fontId="13" fillId="0" borderId="25" xfId="2" applyNumberFormat="1" applyFont="1" applyFill="1" applyBorder="1" applyAlignment="1">
      <alignment horizontal="center"/>
    </xf>
    <xf numFmtId="164" fontId="36" fillId="0" borderId="29" xfId="1" applyNumberFormat="1" applyFont="1" applyFill="1" applyBorder="1"/>
    <xf numFmtId="0" fontId="43" fillId="0" borderId="36" xfId="0" applyFont="1" applyFill="1" applyBorder="1"/>
    <xf numFmtId="0" fontId="0" fillId="0" borderId="128" xfId="0" applyFill="1" applyBorder="1"/>
    <xf numFmtId="0" fontId="0" fillId="0" borderId="130" xfId="0" applyFill="1" applyBorder="1"/>
    <xf numFmtId="0" fontId="0" fillId="0" borderId="129" xfId="0" applyFill="1" applyBorder="1"/>
    <xf numFmtId="164" fontId="14" fillId="3" borderId="37" xfId="1" applyNumberFormat="1" applyFont="1" applyFill="1" applyBorder="1"/>
    <xf numFmtId="10" fontId="13" fillId="0" borderId="28" xfId="2" applyNumberFormat="1" applyFont="1" applyFill="1" applyBorder="1" applyAlignment="1">
      <alignment horizontal="center"/>
    </xf>
    <xf numFmtId="0" fontId="0" fillId="0" borderId="127" xfId="0" applyFill="1" applyBorder="1"/>
    <xf numFmtId="0" fontId="0" fillId="0" borderId="73" xfId="0" applyFill="1" applyBorder="1"/>
    <xf numFmtId="0" fontId="0" fillId="0" borderId="81" xfId="0" applyFill="1" applyBorder="1"/>
    <xf numFmtId="0" fontId="0" fillId="0" borderId="97" xfId="0" applyFill="1" applyBorder="1"/>
    <xf numFmtId="3" fontId="17" fillId="0" borderId="127" xfId="1" applyNumberFormat="1" applyFont="1" applyFill="1" applyBorder="1" applyAlignment="1">
      <alignment horizontal="right"/>
    </xf>
    <xf numFmtId="10" fontId="2" fillId="2" borderId="0" xfId="0" applyNumberFormat="1" applyFont="1" applyFill="1"/>
    <xf numFmtId="10" fontId="28" fillId="0" borderId="0" xfId="2" applyNumberFormat="1" applyFont="1" applyFill="1"/>
    <xf numFmtId="0" fontId="6" fillId="0" borderId="10" xfId="0" applyFont="1" applyFill="1" applyBorder="1" applyAlignment="1">
      <alignment horizontal="center" vertical="center" wrapText="1"/>
    </xf>
    <xf numFmtId="9" fontId="6" fillId="0" borderId="50" xfId="0" applyNumberFormat="1" applyFont="1" applyFill="1" applyBorder="1" applyAlignment="1">
      <alignment horizontal="center" vertical="center"/>
    </xf>
    <xf numFmtId="9" fontId="6" fillId="0" borderId="46" xfId="0" applyNumberFormat="1" applyFont="1" applyFill="1" applyBorder="1" applyAlignment="1">
      <alignment horizontal="center" vertical="center"/>
    </xf>
    <xf numFmtId="165" fontId="6" fillId="0" borderId="46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10" fontId="13" fillId="3" borderId="28" xfId="2" applyNumberFormat="1" applyFont="1" applyFill="1" applyBorder="1" applyAlignment="1">
      <alignment horizontal="center"/>
    </xf>
    <xf numFmtId="167" fontId="6" fillId="3" borderId="40" xfId="2" applyNumberFormat="1" applyFont="1" applyFill="1" applyBorder="1" applyAlignment="1"/>
    <xf numFmtId="3" fontId="17" fillId="3" borderId="127" xfId="1" applyNumberFormat="1" applyFont="1" applyFill="1" applyBorder="1" applyAlignment="1">
      <alignment horizontal="right"/>
    </xf>
    <xf numFmtId="10" fontId="61" fillId="0" borderId="0" xfId="0" applyNumberFormat="1" applyFont="1" applyFill="1"/>
    <xf numFmtId="10" fontId="66" fillId="0" borderId="0" xfId="0" applyNumberFormat="1" applyFont="1" applyFill="1"/>
    <xf numFmtId="0" fontId="8" fillId="0" borderId="2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9" fontId="6" fillId="0" borderId="46" xfId="0" applyNumberFormat="1" applyFont="1" applyFill="1" applyBorder="1" applyAlignment="1">
      <alignment horizontal="center" vertical="center"/>
    </xf>
    <xf numFmtId="165" fontId="6" fillId="0" borderId="46" xfId="2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67" fontId="6" fillId="14" borderId="40" xfId="2" applyNumberFormat="1" applyFont="1" applyFill="1" applyBorder="1" applyAlignment="1"/>
    <xf numFmtId="9" fontId="6" fillId="0" borderId="37" xfId="0" applyNumberFormat="1" applyFont="1" applyFill="1" applyBorder="1" applyAlignment="1">
      <alignment horizontal="center" vertical="center"/>
    </xf>
    <xf numFmtId="10" fontId="6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10" fontId="21" fillId="0" borderId="71" xfId="2" applyNumberFormat="1" applyFont="1" applyFill="1" applyBorder="1" applyAlignment="1">
      <alignment horizontal="center"/>
    </xf>
    <xf numFmtId="168" fontId="17" fillId="3" borderId="63" xfId="1" applyNumberFormat="1" applyFont="1" applyFill="1" applyBorder="1" applyAlignment="1"/>
    <xf numFmtId="168" fontId="17" fillId="3" borderId="63" xfId="1" applyNumberFormat="1" applyFont="1" applyFill="1" applyBorder="1" applyAlignment="1">
      <alignment horizontal="left"/>
    </xf>
    <xf numFmtId="168" fontId="17" fillId="3" borderId="73" xfId="1" applyNumberFormat="1" applyFont="1" applyFill="1" applyBorder="1" applyAlignment="1">
      <alignment horizontal="right"/>
    </xf>
    <xf numFmtId="168" fontId="17" fillId="3" borderId="0" xfId="1" applyNumberFormat="1" applyFont="1" applyFill="1" applyBorder="1" applyAlignment="1"/>
    <xf numFmtId="168" fontId="17" fillId="3" borderId="121" xfId="1" applyNumberFormat="1" applyFont="1" applyFill="1" applyBorder="1" applyAlignment="1">
      <alignment horizontal="left"/>
    </xf>
    <xf numFmtId="165" fontId="18" fillId="0" borderId="72" xfId="2" applyNumberFormat="1" applyFont="1" applyFill="1" applyBorder="1" applyAlignment="1">
      <alignment horizontal="left"/>
    </xf>
    <xf numFmtId="165" fontId="17" fillId="0" borderId="72" xfId="2" applyNumberFormat="1" applyFont="1" applyFill="1" applyBorder="1" applyAlignment="1">
      <alignment horizontal="left"/>
    </xf>
    <xf numFmtId="165" fontId="18" fillId="0" borderId="40" xfId="2" applyNumberFormat="1" applyFont="1" applyFill="1" applyBorder="1" applyAlignment="1">
      <alignment horizontal="left"/>
    </xf>
    <xf numFmtId="165" fontId="18" fillId="0" borderId="35" xfId="2" applyNumberFormat="1" applyFont="1" applyFill="1" applyBorder="1" applyAlignment="1">
      <alignment horizontal="left"/>
    </xf>
    <xf numFmtId="165" fontId="17" fillId="0" borderId="35" xfId="2" applyNumberFormat="1" applyFont="1" applyFill="1" applyBorder="1" applyAlignment="1">
      <alignment horizontal="left"/>
    </xf>
    <xf numFmtId="165" fontId="17" fillId="0" borderId="40" xfId="2" applyNumberFormat="1" applyFont="1" applyFill="1" applyBorder="1" applyAlignment="1">
      <alignment horizontal="left"/>
    </xf>
    <xf numFmtId="165" fontId="18" fillId="0" borderId="24" xfId="2" applyNumberFormat="1" applyFont="1" applyFill="1" applyBorder="1" applyAlignment="1">
      <alignment horizontal="left"/>
    </xf>
    <xf numFmtId="165" fontId="18" fillId="0" borderId="47" xfId="2" applyNumberFormat="1" applyFont="1" applyFill="1" applyBorder="1" applyAlignment="1">
      <alignment horizontal="left"/>
    </xf>
    <xf numFmtId="0" fontId="43" fillId="6" borderId="13" xfId="0" applyFont="1" applyFill="1" applyBorder="1" applyAlignment="1">
      <alignment horizontal="center" vertical="center"/>
    </xf>
    <xf numFmtId="0" fontId="43" fillId="6" borderId="46" xfId="0" applyFont="1" applyFill="1" applyBorder="1" applyAlignment="1">
      <alignment horizontal="center" vertical="center"/>
    </xf>
    <xf numFmtId="0" fontId="43" fillId="6" borderId="47" xfId="0" applyFont="1" applyFill="1" applyBorder="1" applyAlignment="1">
      <alignment horizontal="center" vertical="center"/>
    </xf>
    <xf numFmtId="0" fontId="44" fillId="5" borderId="36" xfId="0" applyFont="1" applyFill="1" applyBorder="1" applyAlignment="1">
      <alignment horizontal="center"/>
    </xf>
    <xf numFmtId="0" fontId="44" fillId="5" borderId="0" xfId="0" applyFont="1" applyFill="1" applyBorder="1" applyAlignment="1">
      <alignment horizontal="center"/>
    </xf>
    <xf numFmtId="0" fontId="44" fillId="5" borderId="35" xfId="0" applyFont="1" applyFill="1" applyBorder="1" applyAlignment="1">
      <alignment horizontal="center"/>
    </xf>
    <xf numFmtId="0" fontId="44" fillId="5" borderId="28" xfId="0" applyFont="1" applyFill="1" applyBorder="1" applyAlignment="1">
      <alignment horizontal="center"/>
    </xf>
    <xf numFmtId="0" fontId="44" fillId="5" borderId="16" xfId="0" applyFont="1" applyFill="1" applyBorder="1" applyAlignment="1">
      <alignment horizontal="center"/>
    </xf>
    <xf numFmtId="0" fontId="44" fillId="5" borderId="8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distributed"/>
    </xf>
    <xf numFmtId="0" fontId="6" fillId="0" borderId="37" xfId="0" applyFont="1" applyFill="1" applyBorder="1" applyAlignment="1">
      <alignment horizontal="center" vertical="distributed"/>
    </xf>
    <xf numFmtId="0" fontId="6" fillId="0" borderId="10" xfId="0" applyFont="1" applyFill="1" applyBorder="1" applyAlignment="1">
      <alignment horizontal="center" vertical="distributed"/>
    </xf>
    <xf numFmtId="0" fontId="8" fillId="0" borderId="7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165" fontId="13" fillId="0" borderId="27" xfId="2" applyNumberFormat="1" applyFont="1" applyFill="1" applyBorder="1" applyAlignment="1">
      <alignment horizontal="center" vertical="center"/>
    </xf>
    <xf numFmtId="165" fontId="13" fillId="0" borderId="23" xfId="2" applyNumberFormat="1" applyFont="1" applyFill="1" applyBorder="1" applyAlignment="1">
      <alignment horizontal="center" vertical="center"/>
    </xf>
    <xf numFmtId="165" fontId="13" fillId="0" borderId="49" xfId="2" applyNumberFormat="1" applyFont="1" applyFill="1" applyBorder="1" applyAlignment="1">
      <alignment horizontal="center" vertical="center"/>
    </xf>
    <xf numFmtId="165" fontId="6" fillId="0" borderId="28" xfId="2" applyNumberFormat="1" applyFont="1" applyFill="1" applyBorder="1" applyAlignment="1">
      <alignment horizontal="center" vertical="center"/>
    </xf>
    <xf numFmtId="165" fontId="6" fillId="0" borderId="36" xfId="2" applyNumberFormat="1" applyFont="1" applyFill="1" applyBorder="1" applyAlignment="1">
      <alignment horizontal="center" vertical="center"/>
    </xf>
    <xf numFmtId="165" fontId="6" fillId="0" borderId="13" xfId="2" applyNumberFormat="1" applyFont="1" applyFill="1" applyBorder="1" applyAlignment="1">
      <alignment horizontal="center" vertical="center"/>
    </xf>
    <xf numFmtId="9" fontId="6" fillId="0" borderId="16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9" fontId="6" fillId="0" borderId="46" xfId="0" applyNumberFormat="1" applyFont="1" applyFill="1" applyBorder="1" applyAlignment="1">
      <alignment horizontal="center" vertical="center"/>
    </xf>
    <xf numFmtId="9" fontId="6" fillId="0" borderId="29" xfId="0" applyNumberFormat="1" applyFont="1" applyFill="1" applyBorder="1" applyAlignment="1">
      <alignment horizontal="center" vertical="center"/>
    </xf>
    <xf numFmtId="9" fontId="6" fillId="0" borderId="17" xfId="0" applyNumberFormat="1" applyFont="1" applyFill="1" applyBorder="1" applyAlignment="1">
      <alignment horizontal="center" vertical="center"/>
    </xf>
    <xf numFmtId="9" fontId="6" fillId="0" borderId="50" xfId="0" applyNumberFormat="1" applyFont="1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5" fontId="6" fillId="0" borderId="16" xfId="2" applyNumberFormat="1" applyFont="1" applyFill="1" applyBorder="1" applyAlignment="1">
      <alignment horizontal="center" vertical="center"/>
    </xf>
    <xf numFmtId="165" fontId="6" fillId="0" borderId="0" xfId="2" applyNumberFormat="1" applyFont="1" applyFill="1" applyBorder="1" applyAlignment="1">
      <alignment horizontal="center" vertical="center"/>
    </xf>
    <xf numFmtId="165" fontId="6" fillId="0" borderId="46" xfId="2" applyNumberFormat="1" applyFont="1" applyFill="1" applyBorder="1" applyAlignment="1">
      <alignment horizontal="center" vertical="center"/>
    </xf>
    <xf numFmtId="9" fontId="6" fillId="0" borderId="53" xfId="0" applyNumberFormat="1" applyFont="1" applyFill="1" applyBorder="1" applyAlignment="1">
      <alignment horizontal="center" vertical="center"/>
    </xf>
    <xf numFmtId="9" fontId="6" fillId="0" borderId="38" xfId="0" applyNumberFormat="1" applyFont="1" applyFill="1" applyBorder="1" applyAlignment="1">
      <alignment horizontal="center" vertical="center"/>
    </xf>
    <xf numFmtId="9" fontId="6" fillId="0" borderId="78" xfId="0" applyNumberFormat="1" applyFont="1" applyFill="1" applyBorder="1" applyAlignment="1">
      <alignment horizontal="center" vertical="center"/>
    </xf>
    <xf numFmtId="9" fontId="6" fillId="0" borderId="5" xfId="0" applyNumberFormat="1" applyFont="1" applyFill="1" applyBorder="1" applyAlignment="1">
      <alignment horizontal="center" vertical="center"/>
    </xf>
    <xf numFmtId="9" fontId="6" fillId="0" borderId="37" xfId="0" applyNumberFormat="1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5" fontId="6" fillId="0" borderId="5" xfId="2" applyNumberFormat="1" applyFont="1" applyFill="1" applyBorder="1" applyAlignment="1">
      <alignment horizontal="center" vertical="center"/>
    </xf>
    <xf numFmtId="165" fontId="6" fillId="0" borderId="37" xfId="2" applyNumberFormat="1" applyFont="1" applyFill="1" applyBorder="1" applyAlignment="1">
      <alignment horizontal="center" vertical="center"/>
    </xf>
    <xf numFmtId="165" fontId="6" fillId="0" borderId="10" xfId="2" applyNumberFormat="1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26" fillId="0" borderId="28" xfId="1" applyNumberFormat="1" applyFont="1" applyFill="1" applyBorder="1" applyAlignment="1">
      <alignment horizontal="center"/>
    </xf>
    <xf numFmtId="164" fontId="26" fillId="0" borderId="63" xfId="1" applyNumberFormat="1" applyFont="1" applyFill="1" applyBorder="1" applyAlignment="1">
      <alignment horizontal="center"/>
    </xf>
    <xf numFmtId="165" fontId="6" fillId="0" borderId="53" xfId="2" applyNumberFormat="1" applyFont="1" applyFill="1" applyBorder="1" applyAlignment="1">
      <alignment horizontal="center" vertical="center"/>
    </xf>
    <xf numFmtId="165" fontId="6" fillId="0" borderId="38" xfId="2" applyNumberFormat="1" applyFont="1" applyFill="1" applyBorder="1" applyAlignment="1">
      <alignment horizontal="center" vertical="center"/>
    </xf>
    <xf numFmtId="165" fontId="6" fillId="0" borderId="78" xfId="2" applyNumberFormat="1" applyFont="1" applyFill="1" applyBorder="1" applyAlignment="1">
      <alignment horizontal="center" vertical="center"/>
    </xf>
    <xf numFmtId="9" fontId="0" fillId="0" borderId="53" xfId="2" applyFont="1" applyFill="1" applyBorder="1" applyAlignment="1">
      <alignment horizontal="center" vertical="center"/>
    </xf>
    <xf numFmtId="9" fontId="0" fillId="0" borderId="38" xfId="2" applyFont="1" applyFill="1" applyBorder="1" applyAlignment="1">
      <alignment horizontal="center" vertical="center"/>
    </xf>
    <xf numFmtId="9" fontId="0" fillId="0" borderId="78" xfId="2" applyFont="1" applyFill="1" applyBorder="1" applyAlignment="1">
      <alignment horizontal="center" vertical="center"/>
    </xf>
    <xf numFmtId="10" fontId="6" fillId="0" borderId="5" xfId="0" applyNumberFormat="1" applyFont="1" applyFill="1" applyBorder="1" applyAlignment="1">
      <alignment horizontal="center" vertical="center"/>
    </xf>
    <xf numFmtId="10" fontId="6" fillId="0" borderId="37" xfId="0" applyNumberFormat="1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 wrapText="1"/>
    </xf>
    <xf numFmtId="0" fontId="6" fillId="0" borderId="103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0" fontId="6" fillId="0" borderId="10" xfId="0" applyNumberFormat="1" applyFont="1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COMPOSIÇÃO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('Consolidado Janeiro 2018'!$D$110,'Consolidado Janeiro 2018'!$D$111)</c:f>
              <c:strCache>
                <c:ptCount val="2"/>
                <c:pt idx="0">
                  <c:v>Renda Fixa </c:v>
                </c:pt>
                <c:pt idx="1">
                  <c:v>Renda variável </c:v>
                </c:pt>
              </c:strCache>
            </c:strRef>
          </c:cat>
          <c:val>
            <c:numRef>
              <c:f>('Consolidado Janeiro 2018'!$H$110,'Consolidado Janeiro 2018'!$H$111)</c:f>
              <c:numCache>
                <c:formatCode>0.00%</c:formatCode>
                <c:ptCount val="2"/>
                <c:pt idx="0">
                  <c:v>0.81037012735747382</c:v>
                </c:pt>
                <c:pt idx="1">
                  <c:v>0.1822050697397542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COMPOSIÇÃO SBCPREV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40-4E63-B33A-F9BD982C269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40-4E63-B33A-F9BD982C269B}"/>
              </c:ext>
            </c:extLst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'[5]Consolidado Janeiro 2018'!$D$91:$D$92</c:f>
              <c:strCache>
                <c:ptCount val="2"/>
                <c:pt idx="0">
                  <c:v>Renda Fixa </c:v>
                </c:pt>
                <c:pt idx="1">
                  <c:v>Renda variável </c:v>
                </c:pt>
              </c:strCache>
            </c:strRef>
          </c:cat>
          <c:val>
            <c:numRef>
              <c:f>'[5]Consolidado Janeiro 2018'!$H$91:$H$92</c:f>
              <c:numCache>
                <c:formatCode>General</c:formatCode>
                <c:ptCount val="2"/>
                <c:pt idx="0">
                  <c:v>0.80665044576475586</c:v>
                </c:pt>
                <c:pt idx="1">
                  <c:v>0.18595838267604989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C40-4E63-B33A-F9BD982C2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COMPOSIÇÃO SBCPREV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40-4E63-B33A-F9BD982C269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40-4E63-B33A-F9BD982C269B}"/>
              </c:ext>
            </c:extLst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'[5]Consolidado Janeiro 2018'!$D$91:$D$92</c:f>
              <c:strCache>
                <c:ptCount val="2"/>
                <c:pt idx="0">
                  <c:v>Renda Fixa </c:v>
                </c:pt>
                <c:pt idx="1">
                  <c:v>Renda variável </c:v>
                </c:pt>
              </c:strCache>
            </c:strRef>
          </c:cat>
          <c:val>
            <c:numRef>
              <c:f>'[5]Consolidado Janeiro 2018'!$H$91:$H$92</c:f>
              <c:numCache>
                <c:formatCode>General</c:formatCode>
                <c:ptCount val="2"/>
                <c:pt idx="0">
                  <c:v>0.80665044576475586</c:v>
                </c:pt>
                <c:pt idx="1">
                  <c:v>0.18595838267604989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C40-4E63-B33A-F9BD982C2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COMPOSIÇÃO SBCPREV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40-4E63-B33A-F9BD982C269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40-4E63-B33A-F9BD982C269B}"/>
              </c:ext>
            </c:extLst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'[5]Consolidado Janeiro 2018'!$D$91:$D$92</c:f>
              <c:strCache>
                <c:ptCount val="2"/>
                <c:pt idx="0">
                  <c:v>Renda Fixa </c:v>
                </c:pt>
                <c:pt idx="1">
                  <c:v>Renda variável </c:v>
                </c:pt>
              </c:strCache>
            </c:strRef>
          </c:cat>
          <c:val>
            <c:numRef>
              <c:f>'[5]Consolidado Janeiro 2018'!$H$91:$H$92</c:f>
              <c:numCache>
                <c:formatCode>General</c:formatCode>
                <c:ptCount val="2"/>
                <c:pt idx="0">
                  <c:v>0.80665044576475586</c:v>
                </c:pt>
                <c:pt idx="1">
                  <c:v>0.18595838267604989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C40-4E63-B33A-F9BD982C2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COMPOSIÇÃO SBCPREV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40-4E63-B33A-F9BD982C269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40-4E63-B33A-F9BD982C269B}"/>
              </c:ext>
            </c:extLst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'[5]Consolidado Janeiro 2018'!$D$91:$D$92</c:f>
              <c:strCache>
                <c:ptCount val="2"/>
                <c:pt idx="0">
                  <c:v>Renda Fixa </c:v>
                </c:pt>
                <c:pt idx="1">
                  <c:v>Renda variável </c:v>
                </c:pt>
              </c:strCache>
            </c:strRef>
          </c:cat>
          <c:val>
            <c:numRef>
              <c:f>'[5]Consolidado Janeiro 2018'!$H$91:$H$92</c:f>
              <c:numCache>
                <c:formatCode>General</c:formatCode>
                <c:ptCount val="2"/>
                <c:pt idx="0">
                  <c:v>0.80665044576475586</c:v>
                </c:pt>
                <c:pt idx="1">
                  <c:v>0.18595838267604989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C40-4E63-B33A-F9BD982C2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 C</a:t>
            </a:r>
            <a:r>
              <a:rPr lang="pt-BR" baseline="0"/>
              <a:t> O M P O S I Ç Ã O</a:t>
            </a:r>
            <a:endParaRPr lang="pt-BR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82,86%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17,13%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('Consolidado Junho 2018'!$D$116,'Consolidado Junho 2018'!$D$117)</c:f>
              <c:strCache>
                <c:ptCount val="2"/>
                <c:pt idx="0">
                  <c:v>Renda Fixa </c:v>
                </c:pt>
                <c:pt idx="1">
                  <c:v>Renda variável </c:v>
                </c:pt>
              </c:strCache>
            </c:strRef>
          </c:cat>
          <c:val>
            <c:numRef>
              <c:f>('Consolidado Junho 2018'!$H$116,'Consolidado Junho 2018'!$H$117)</c:f>
              <c:numCache>
                <c:formatCode>0.00%</c:formatCode>
                <c:ptCount val="2"/>
                <c:pt idx="0">
                  <c:v>0.82864387568618747</c:v>
                </c:pt>
                <c:pt idx="1">
                  <c:v>0.17134755070404792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 C</a:t>
            </a:r>
            <a:r>
              <a:rPr lang="pt-BR" baseline="0"/>
              <a:t> O M P O S I Ç Ã O</a:t>
            </a:r>
            <a:endParaRPr lang="pt-BR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82,86%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17,13%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('Consolidado Julho 2018'!$D$118,'Consolidado Julho 2018'!$D$119)</c:f>
              <c:strCache>
                <c:ptCount val="2"/>
                <c:pt idx="0">
                  <c:v>Renda Fixa </c:v>
                </c:pt>
                <c:pt idx="1">
                  <c:v>Renda variável </c:v>
                </c:pt>
              </c:strCache>
            </c:strRef>
          </c:cat>
          <c:val>
            <c:numRef>
              <c:f>('Consolidado Julho 2018'!$H$118,'Consolidado Julho 2018'!$H$119)</c:f>
              <c:numCache>
                <c:formatCode>0.00%</c:formatCode>
                <c:ptCount val="2"/>
                <c:pt idx="0">
                  <c:v>0.82640291138057675</c:v>
                </c:pt>
                <c:pt idx="1">
                  <c:v>0.1735822240090435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542925</xdr:colOff>
      <xdr:row>108</xdr:row>
      <xdr:rowOff>123824</xdr:rowOff>
    </xdr:from>
    <xdr:to>
      <xdr:col>18</xdr:col>
      <xdr:colOff>1419225</xdr:colOff>
      <xdr:row>130</xdr:row>
      <xdr:rowOff>85724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85725</xdr:colOff>
      <xdr:row>114</xdr:row>
      <xdr:rowOff>190500</xdr:rowOff>
    </xdr:from>
    <xdr:to>
      <xdr:col>18</xdr:col>
      <xdr:colOff>1514475</xdr:colOff>
      <xdr:row>136</xdr:row>
      <xdr:rowOff>219075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338C26D-F5A4-402F-ACD2-D89AC054EB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85725</xdr:colOff>
      <xdr:row>113</xdr:row>
      <xdr:rowOff>190500</xdr:rowOff>
    </xdr:from>
    <xdr:to>
      <xdr:col>18</xdr:col>
      <xdr:colOff>1514475</xdr:colOff>
      <xdr:row>135</xdr:row>
      <xdr:rowOff>219075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338C26D-F5A4-402F-ACD2-D89AC054EB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85725</xdr:colOff>
      <xdr:row>115</xdr:row>
      <xdr:rowOff>190500</xdr:rowOff>
    </xdr:from>
    <xdr:to>
      <xdr:col>18</xdr:col>
      <xdr:colOff>1514475</xdr:colOff>
      <xdr:row>137</xdr:row>
      <xdr:rowOff>219075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338C26D-F5A4-402F-ACD2-D89AC054EB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85725</xdr:colOff>
      <xdr:row>116</xdr:row>
      <xdr:rowOff>190500</xdr:rowOff>
    </xdr:from>
    <xdr:to>
      <xdr:col>18</xdr:col>
      <xdr:colOff>1514475</xdr:colOff>
      <xdr:row>138</xdr:row>
      <xdr:rowOff>219075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338C26D-F5A4-402F-ACD2-D89AC054EB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592883</xdr:colOff>
      <xdr:row>118</xdr:row>
      <xdr:rowOff>9719</xdr:rowOff>
    </xdr:from>
    <xdr:to>
      <xdr:col>18</xdr:col>
      <xdr:colOff>1304340</xdr:colOff>
      <xdr:row>140</xdr:row>
      <xdr:rowOff>145790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592883</xdr:colOff>
      <xdr:row>120</xdr:row>
      <xdr:rowOff>9719</xdr:rowOff>
    </xdr:from>
    <xdr:to>
      <xdr:col>18</xdr:col>
      <xdr:colOff>1304340</xdr:colOff>
      <xdr:row>142</xdr:row>
      <xdr:rowOff>145790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FIN2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FINPrev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FINPrev%20%202018%20e%20Meta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FINPrev%20%202017%20e%20Meta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idado%20FFIN2%20e%20FFINPREV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"/>
      <sheetName val="FFIN2 Janeiro 2018"/>
      <sheetName val="FFIN2 Fevereiro 2018"/>
      <sheetName val="FFIN2 Março 2018"/>
      <sheetName val="FFIN2 Abril 2018"/>
      <sheetName val="FFIN2 Maio 2018"/>
      <sheetName val="FFIN2 Junho 2018"/>
      <sheetName val="FFIN2 Julho 2018"/>
    </sheetNames>
    <sheetDataSet>
      <sheetData sheetId="0"/>
      <sheetData sheetId="1">
        <row r="5">
          <cell r="G5">
            <v>25750497.16</v>
          </cell>
          <cell r="I5">
            <v>8.0999999999999996E-3</v>
          </cell>
        </row>
        <row r="6">
          <cell r="G6">
            <v>11262419.060000001</v>
          </cell>
          <cell r="I6">
            <v>1.34E-2</v>
          </cell>
        </row>
        <row r="7">
          <cell r="G7">
            <v>24994468.989999998</v>
          </cell>
          <cell r="I7">
            <v>2.1999999999999999E-2</v>
          </cell>
        </row>
        <row r="8">
          <cell r="G8">
            <v>29314521.109999999</v>
          </cell>
          <cell r="I8">
            <v>5.1700000000000003E-2</v>
          </cell>
        </row>
        <row r="9">
          <cell r="G9">
            <v>11898246.800000001</v>
          </cell>
          <cell r="I9">
            <v>5.1700000000000003E-2</v>
          </cell>
        </row>
        <row r="10">
          <cell r="G10">
            <v>20692603.140000001</v>
          </cell>
          <cell r="I10">
            <v>5.1700000000000003E-2</v>
          </cell>
        </row>
        <row r="12">
          <cell r="G12">
            <v>38650893.140000001</v>
          </cell>
          <cell r="I12">
            <v>1.3100000000000001E-2</v>
          </cell>
          <cell r="M12">
            <v>1237352988.2</v>
          </cell>
        </row>
        <row r="13">
          <cell r="G13">
            <v>29242019.800000001</v>
          </cell>
          <cell r="I13">
            <v>1.2869999999999999E-2</v>
          </cell>
          <cell r="M13">
            <v>4729358053.6199999</v>
          </cell>
        </row>
        <row r="14">
          <cell r="G14">
            <v>19629792.140000001</v>
          </cell>
          <cell r="I14">
            <v>1.3122E-2</v>
          </cell>
          <cell r="M14">
            <v>2196083459.8899999</v>
          </cell>
        </row>
        <row r="15">
          <cell r="G15">
            <v>12536419.890000001</v>
          </cell>
          <cell r="I15">
            <v>3.3300000000000003E-2</v>
          </cell>
          <cell r="M15">
            <v>349236457.67000002</v>
          </cell>
        </row>
        <row r="16">
          <cell r="G16">
            <v>52298679.369999997</v>
          </cell>
          <cell r="I16">
            <v>1.3073E-2</v>
          </cell>
          <cell r="M16">
            <v>6740982774.0600004</v>
          </cell>
        </row>
        <row r="17">
          <cell r="G17">
            <v>104927700.98999999</v>
          </cell>
          <cell r="I17">
            <v>1.3703E-2</v>
          </cell>
          <cell r="M17">
            <v>2759142861.0300002</v>
          </cell>
        </row>
        <row r="18">
          <cell r="G18">
            <v>6873383.6200000001</v>
          </cell>
          <cell r="I18">
            <v>1.2999999999999999E-2</v>
          </cell>
          <cell r="M18">
            <v>1750421752.55</v>
          </cell>
        </row>
        <row r="19">
          <cell r="G19">
            <v>7065699.4000000004</v>
          </cell>
          <cell r="I19">
            <v>3.4000000000000002E-2</v>
          </cell>
          <cell r="M19">
            <v>58769641.909999996</v>
          </cell>
        </row>
        <row r="25">
          <cell r="G25">
            <v>4167555.9</v>
          </cell>
          <cell r="I25">
            <v>5.7999999999999996E-3</v>
          </cell>
        </row>
        <row r="26">
          <cell r="G26">
            <v>397113.34</v>
          </cell>
          <cell r="I26">
            <v>5.1000000000000004E-3</v>
          </cell>
        </row>
        <row r="27">
          <cell r="G27">
            <v>52300743.960000001</v>
          </cell>
          <cell r="I27">
            <v>3.3468999999999999E-2</v>
          </cell>
          <cell r="M27">
            <v>1072547291.88</v>
          </cell>
        </row>
        <row r="28">
          <cell r="I28">
            <v>5.3E-3</v>
          </cell>
        </row>
        <row r="29">
          <cell r="G29">
            <v>16016713.970000001</v>
          </cell>
          <cell r="I29">
            <v>7.6E-3</v>
          </cell>
          <cell r="M29">
            <v>223876304.69999999</v>
          </cell>
        </row>
        <row r="30">
          <cell r="G30">
            <v>6313876.4500000002</v>
          </cell>
          <cell r="I30">
            <v>5.7000000000000002E-3</v>
          </cell>
          <cell r="M30">
            <v>10907536241.889999</v>
          </cell>
        </row>
        <row r="31">
          <cell r="G31">
            <v>26323501.539999999</v>
          </cell>
          <cell r="I31">
            <v>1.49E-2</v>
          </cell>
          <cell r="M31">
            <v>1473930062</v>
          </cell>
        </row>
        <row r="32">
          <cell r="G32">
            <v>13728407.02</v>
          </cell>
          <cell r="M32">
            <v>9348518776.5200005</v>
          </cell>
        </row>
        <row r="33">
          <cell r="G33">
            <v>47692504.850000001</v>
          </cell>
          <cell r="I33">
            <v>3.39E-2</v>
          </cell>
          <cell r="M33">
            <v>1445928639.25</v>
          </cell>
        </row>
        <row r="34">
          <cell r="G34">
            <v>27219032.09</v>
          </cell>
          <cell r="I34">
            <v>1.32E-2</v>
          </cell>
          <cell r="M34">
            <v>321114531.17000002</v>
          </cell>
        </row>
        <row r="40">
          <cell r="G40">
            <v>6930698.3399999999</v>
          </cell>
          <cell r="I40">
            <v>6.7000000000000002E-3</v>
          </cell>
          <cell r="M40">
            <v>406695269.16000003</v>
          </cell>
        </row>
        <row r="41">
          <cell r="G41">
            <v>42814.93</v>
          </cell>
          <cell r="I41">
            <v>-0.53390000000000004</v>
          </cell>
          <cell r="M41">
            <v>999016.7</v>
          </cell>
        </row>
        <row r="42">
          <cell r="G42">
            <v>76496.73</v>
          </cell>
          <cell r="I42">
            <v>-3.78E-2</v>
          </cell>
          <cell r="M42">
            <v>1539221.89</v>
          </cell>
        </row>
        <row r="46">
          <cell r="G46">
            <v>39081745.590000004</v>
          </cell>
          <cell r="I46">
            <v>9.7100000000000006E-2</v>
          </cell>
          <cell r="M46">
            <v>580590845.73000002</v>
          </cell>
        </row>
        <row r="47">
          <cell r="G47">
            <v>11637742.41</v>
          </cell>
          <cell r="I47">
            <v>8.09E-2</v>
          </cell>
          <cell r="M47">
            <v>77802138.049999997</v>
          </cell>
        </row>
        <row r="49">
          <cell r="G49">
            <v>7550441.29</v>
          </cell>
          <cell r="I49">
            <v>0.109094</v>
          </cell>
          <cell r="M49">
            <v>39096531.579999998</v>
          </cell>
        </row>
        <row r="51">
          <cell r="G51">
            <v>10077348.43</v>
          </cell>
          <cell r="I51">
            <v>0.1255</v>
          </cell>
          <cell r="M51">
            <v>190859592.62</v>
          </cell>
        </row>
        <row r="52">
          <cell r="G52">
            <v>22689739.140000001</v>
          </cell>
          <cell r="I52">
            <v>0.1202</v>
          </cell>
          <cell r="M52">
            <v>188751910.16999999</v>
          </cell>
        </row>
        <row r="53">
          <cell r="G53">
            <v>20642212.789999999</v>
          </cell>
          <cell r="I53">
            <v>9.2200000000000004E-2</v>
          </cell>
          <cell r="M53">
            <v>493662489.12</v>
          </cell>
        </row>
        <row r="54">
          <cell r="G54">
            <v>2730541.68</v>
          </cell>
          <cell r="I54">
            <v>0.13789999999999999</v>
          </cell>
          <cell r="M54">
            <v>236114205.46000001</v>
          </cell>
        </row>
        <row r="55">
          <cell r="G55">
            <v>7215427.6900000004</v>
          </cell>
          <cell r="I55">
            <v>7.7100000000000002E-2</v>
          </cell>
          <cell r="M55">
            <v>364884519.37</v>
          </cell>
        </row>
        <row r="58">
          <cell r="G58">
            <v>3577432</v>
          </cell>
          <cell r="I58">
            <v>5.3831999999999998E-2</v>
          </cell>
          <cell r="M58">
            <v>1364986237.1800001</v>
          </cell>
        </row>
        <row r="59">
          <cell r="G59">
            <v>5331806</v>
          </cell>
          <cell r="I59">
            <v>-1.9E-3</v>
          </cell>
          <cell r="M59">
            <v>34646077.68</v>
          </cell>
        </row>
        <row r="61">
          <cell r="G61">
            <v>13041587.75</v>
          </cell>
          <cell r="I61">
            <v>-0.1188</v>
          </cell>
          <cell r="M61">
            <v>92595273.010000005</v>
          </cell>
        </row>
        <row r="62">
          <cell r="G62">
            <v>464560.2</v>
          </cell>
          <cell r="I62">
            <v>-1.2999999999999999E-3</v>
          </cell>
          <cell r="M62">
            <v>209367646.30000001</v>
          </cell>
        </row>
        <row r="63">
          <cell r="G63">
            <v>775666.17</v>
          </cell>
          <cell r="I63">
            <v>4.1399999999999999E-2</v>
          </cell>
          <cell r="M63">
            <v>191353269.22999999</v>
          </cell>
        </row>
        <row r="65">
          <cell r="G65">
            <v>5600000</v>
          </cell>
          <cell r="I65">
            <v>0.16200000000000001</v>
          </cell>
          <cell r="M65">
            <v>153397209.24000001</v>
          </cell>
        </row>
        <row r="66">
          <cell r="G66">
            <v>8846188.6799999997</v>
          </cell>
          <cell r="I66">
            <v>1.24E-2</v>
          </cell>
          <cell r="M66">
            <v>152679755.72999999</v>
          </cell>
        </row>
        <row r="68">
          <cell r="G68">
            <v>392341.61</v>
          </cell>
          <cell r="I68">
            <v>0</v>
          </cell>
        </row>
        <row r="69">
          <cell r="G69">
            <v>7000351.0099999998</v>
          </cell>
          <cell r="I69">
            <v>0</v>
          </cell>
        </row>
        <row r="70">
          <cell r="G70">
            <v>763001936.16999996</v>
          </cell>
        </row>
        <row r="71">
          <cell r="B71" t="str">
            <v>Meta Atuarial(INPC 0,23 + 0,486755)</v>
          </cell>
          <cell r="E71">
            <v>7.4000000000000003E-3</v>
          </cell>
          <cell r="H71">
            <v>0.1114</v>
          </cell>
          <cell r="K71">
            <v>2.64E-2</v>
          </cell>
          <cell r="N71">
            <v>1.2985E-2</v>
          </cell>
        </row>
        <row r="72">
          <cell r="H72">
            <v>0.1074</v>
          </cell>
          <cell r="K72">
            <v>3.4013000000000002E-2</v>
          </cell>
          <cell r="N72">
            <v>5.9239999999999996E-3</v>
          </cell>
        </row>
        <row r="73">
          <cell r="E73">
            <v>2.3E-3</v>
          </cell>
          <cell r="H73">
            <v>0.1171</v>
          </cell>
          <cell r="K73">
            <v>1.7559999999999999E-2</v>
          </cell>
          <cell r="N73">
            <v>1.5476999999999999E-2</v>
          </cell>
        </row>
        <row r="74">
          <cell r="E74">
            <v>5.7999999999999996E-3</v>
          </cell>
          <cell r="H74">
            <v>4.3400000000000001E-2</v>
          </cell>
          <cell r="K74">
            <v>1.3336000000000001E-2</v>
          </cell>
          <cell r="N74">
            <v>4.3695999999999999E-2</v>
          </cell>
        </row>
        <row r="75">
          <cell r="E75">
            <v>2.8999999999999998E-3</v>
          </cell>
          <cell r="H75">
            <v>9.8799999999999999E-2</v>
          </cell>
          <cell r="K75">
            <v>4.9485000000000001E-2</v>
          </cell>
          <cell r="N75">
            <v>5.8300000000000001E-3</v>
          </cell>
        </row>
      </sheetData>
      <sheetData sheetId="2">
        <row r="5">
          <cell r="G5">
            <v>25841931.02</v>
          </cell>
          <cell r="I5">
            <v>3.5999999999999999E-3</v>
          </cell>
        </row>
        <row r="6">
          <cell r="G6">
            <v>11350989.08</v>
          </cell>
          <cell r="I6">
            <v>7.9000000000000008E-3</v>
          </cell>
        </row>
        <row r="7">
          <cell r="G7">
            <v>25139493.309999999</v>
          </cell>
          <cell r="I7">
            <v>5.7999999999999996E-3</v>
          </cell>
          <cell r="L7">
            <v>0.27250000000000002</v>
          </cell>
        </row>
        <row r="8">
          <cell r="G8">
            <v>29357395.010000002</v>
          </cell>
          <cell r="I8">
            <v>1.4E-3</v>
          </cell>
        </row>
        <row r="9">
          <cell r="G9">
            <v>11915648.560000001</v>
          </cell>
          <cell r="I9">
            <v>1.4E-3</v>
          </cell>
        </row>
        <row r="10">
          <cell r="G10">
            <v>20722867.059999999</v>
          </cell>
          <cell r="I10">
            <v>1.4E-3</v>
          </cell>
        </row>
        <row r="12">
          <cell r="G12">
            <v>50860137.299999997</v>
          </cell>
          <cell r="I12">
            <v>5.1999999999999998E-3</v>
          </cell>
          <cell r="M12">
            <v>1327754160.5799999</v>
          </cell>
        </row>
        <row r="13">
          <cell r="G13">
            <v>29564556.870000001</v>
          </cell>
          <cell r="I13">
            <v>1.1029000000000001E-2</v>
          </cell>
          <cell r="M13">
            <v>5033878676.0100002</v>
          </cell>
        </row>
        <row r="14">
          <cell r="G14">
            <v>20402721.870000001</v>
          </cell>
          <cell r="I14">
            <v>5.2009999999999999E-3</v>
          </cell>
          <cell r="M14">
            <v>2178485001.4400001</v>
          </cell>
        </row>
        <row r="15">
          <cell r="G15">
            <v>12598324.369999999</v>
          </cell>
          <cell r="I15">
            <v>4.8999999999999998E-3</v>
          </cell>
          <cell r="M15">
            <v>315675443.5</v>
          </cell>
        </row>
        <row r="16">
          <cell r="G16">
            <v>52576790.689999998</v>
          </cell>
          <cell r="I16">
            <v>5.3179999999999998E-3</v>
          </cell>
          <cell r="M16">
            <v>6991874867.3299999</v>
          </cell>
        </row>
        <row r="17">
          <cell r="G17">
            <v>106154743.59</v>
          </cell>
          <cell r="I17">
            <v>1.1694E-2</v>
          </cell>
          <cell r="M17">
            <v>2813285709.3299999</v>
          </cell>
        </row>
        <row r="18">
          <cell r="G18">
            <v>6908403.5499999998</v>
          </cell>
          <cell r="I18">
            <v>5.1000000000000004E-3</v>
          </cell>
          <cell r="M18">
            <v>1762293081</v>
          </cell>
        </row>
        <row r="19">
          <cell r="G19">
            <v>7101831.4199999999</v>
          </cell>
          <cell r="I19">
            <v>5.1000000000000004E-3</v>
          </cell>
          <cell r="M19">
            <v>59474173.159999996</v>
          </cell>
        </row>
        <row r="25">
          <cell r="G25">
            <v>0</v>
          </cell>
          <cell r="I25">
            <v>0</v>
          </cell>
          <cell r="M25">
            <v>6893035004.8800001</v>
          </cell>
        </row>
        <row r="26">
          <cell r="G26">
            <v>12612603.859999999</v>
          </cell>
          <cell r="I26">
            <v>4.0000000000000001E-3</v>
          </cell>
        </row>
        <row r="27">
          <cell r="G27">
            <v>93503.51</v>
          </cell>
          <cell r="I27">
            <v>4.5999999999999999E-3</v>
          </cell>
          <cell r="M27">
            <v>6893035004.8800001</v>
          </cell>
        </row>
        <row r="28">
          <cell r="G28">
            <v>52587120.090000004</v>
          </cell>
          <cell r="I28">
            <v>5.4749999999999998E-3</v>
          </cell>
          <cell r="M28">
            <v>1077260403.3299999</v>
          </cell>
        </row>
        <row r="29">
          <cell r="G29">
            <v>16092457.49</v>
          </cell>
          <cell r="I29">
            <v>4.7000000000000002E-3</v>
          </cell>
          <cell r="M29">
            <v>190519457.52000001</v>
          </cell>
        </row>
        <row r="30">
          <cell r="G30">
            <v>6342432.0800000001</v>
          </cell>
          <cell r="I30">
            <v>4.4999999999999997E-3</v>
          </cell>
          <cell r="M30">
            <v>10845052436</v>
          </cell>
        </row>
        <row r="31">
          <cell r="G31">
            <v>26517126.02</v>
          </cell>
          <cell r="I31">
            <v>7.4000000000000003E-3</v>
          </cell>
          <cell r="M31">
            <v>1494460540</v>
          </cell>
        </row>
        <row r="32">
          <cell r="G32">
            <v>13795828.65</v>
          </cell>
          <cell r="I32">
            <v>4.8999999999999998E-3</v>
          </cell>
          <cell r="M32">
            <v>9332891240.2199993</v>
          </cell>
        </row>
        <row r="33">
          <cell r="G33">
            <v>47953802.200000003</v>
          </cell>
          <cell r="I33">
            <v>5.4999999999999997E-3</v>
          </cell>
          <cell r="M33">
            <v>1445928639.25</v>
          </cell>
        </row>
        <row r="34">
          <cell r="G34">
            <v>27374714.859999999</v>
          </cell>
          <cell r="I34">
            <v>5.7000000000000002E-3</v>
          </cell>
          <cell r="M34">
            <v>445176324.69</v>
          </cell>
        </row>
        <row r="40">
          <cell r="M40">
            <v>503124363</v>
          </cell>
        </row>
        <row r="41">
          <cell r="G41">
            <v>39744.82</v>
          </cell>
          <cell r="I41">
            <v>-7.17E-2</v>
          </cell>
          <cell r="M41">
            <v>2143264.92</v>
          </cell>
        </row>
        <row r="42">
          <cell r="G42">
            <v>73406.490000000005</v>
          </cell>
          <cell r="I42">
            <v>-4.0399999999999998E-2</v>
          </cell>
          <cell r="M42">
            <v>5017508.99</v>
          </cell>
        </row>
        <row r="46">
          <cell r="G46">
            <v>39539232.950000003</v>
          </cell>
          <cell r="I46">
            <v>1.17E-2</v>
          </cell>
          <cell r="M46">
            <v>765238488.5</v>
          </cell>
        </row>
        <row r="47">
          <cell r="G47">
            <v>0</v>
          </cell>
          <cell r="I47">
            <v>0</v>
          </cell>
          <cell r="M47">
            <v>72459141.430000007</v>
          </cell>
        </row>
        <row r="48">
          <cell r="G48">
            <v>19128149.440000001</v>
          </cell>
          <cell r="I48">
            <v>5.9999999999999995E-4</v>
          </cell>
          <cell r="M48">
            <v>262043490.47999999</v>
          </cell>
        </row>
        <row r="50">
          <cell r="G50">
            <v>0</v>
          </cell>
          <cell r="I50">
            <v>0</v>
          </cell>
          <cell r="M50">
            <v>0</v>
          </cell>
        </row>
        <row r="52">
          <cell r="G52">
            <v>10102010.560000001</v>
          </cell>
          <cell r="I52">
            <v>2.3999999999999998E-3</v>
          </cell>
          <cell r="M52">
            <v>221313077</v>
          </cell>
        </row>
        <row r="53">
          <cell r="G53">
            <v>23412838.68</v>
          </cell>
          <cell r="I53">
            <v>3.1899999999999998E-2</v>
          </cell>
          <cell r="M53">
            <v>198821370.77000001</v>
          </cell>
        </row>
        <row r="54">
          <cell r="G54">
            <v>20948937.539999999</v>
          </cell>
          <cell r="I54">
            <v>1.49E-2</v>
          </cell>
          <cell r="M54">
            <v>534648785.19999999</v>
          </cell>
        </row>
        <row r="55">
          <cell r="G55">
            <v>2784565.2</v>
          </cell>
          <cell r="I55">
            <v>1.9800000000000002E-2</v>
          </cell>
          <cell r="M55">
            <v>284993022</v>
          </cell>
        </row>
        <row r="56">
          <cell r="G56">
            <v>7239744.7199999997</v>
          </cell>
          <cell r="I56">
            <v>3.3999999999999998E-3</v>
          </cell>
          <cell r="M56">
            <v>370078348.39999998</v>
          </cell>
        </row>
        <row r="59">
          <cell r="G59">
            <v>3459822.01</v>
          </cell>
          <cell r="I59">
            <v>-3.2876000000000002E-2</v>
          </cell>
          <cell r="M59">
            <v>1303016652.3299999</v>
          </cell>
        </row>
        <row r="60">
          <cell r="G60">
            <v>5351077.5</v>
          </cell>
          <cell r="I60">
            <v>3.5999999999999999E-3</v>
          </cell>
          <cell r="M60">
            <v>34771302.880000003</v>
          </cell>
        </row>
        <row r="62">
          <cell r="G62">
            <v>14029388.289999999</v>
          </cell>
          <cell r="I62">
            <v>7.9972000000000001E-2</v>
          </cell>
          <cell r="M62">
            <v>105073395.3</v>
          </cell>
        </row>
        <row r="63">
          <cell r="G63">
            <v>464087.98</v>
          </cell>
          <cell r="I63">
            <v>-1E-3</v>
          </cell>
          <cell r="M63">
            <v>217525367.59999999</v>
          </cell>
        </row>
        <row r="64">
          <cell r="G64">
            <v>765299.27</v>
          </cell>
          <cell r="I64">
            <v>-1.3365E-2</v>
          </cell>
          <cell r="M64">
            <v>176616955.02000001</v>
          </cell>
        </row>
        <row r="66">
          <cell r="G66">
            <v>5900000</v>
          </cell>
          <cell r="I66">
            <v>5.3600000000000002E-2</v>
          </cell>
          <cell r="M66">
            <v>153397209.24000001</v>
          </cell>
        </row>
        <row r="67">
          <cell r="G67">
            <v>9230430.1600000001</v>
          </cell>
          <cell r="I67">
            <v>4.3400000000000001E-2</v>
          </cell>
          <cell r="M67">
            <v>152679755.72999999</v>
          </cell>
        </row>
        <row r="69">
          <cell r="G69">
            <v>2979.3</v>
          </cell>
          <cell r="I69">
            <v>0</v>
          </cell>
        </row>
        <row r="70">
          <cell r="G70">
            <v>648180.52</v>
          </cell>
          <cell r="I70">
            <v>0</v>
          </cell>
        </row>
        <row r="71">
          <cell r="G71">
            <v>783953158.96000004</v>
          </cell>
        </row>
        <row r="72">
          <cell r="B72" t="str">
            <v>Meta Atuarial(INPC 0,18 + 0,486755)</v>
          </cell>
          <cell r="E72">
            <v>6.0000000000000001E-3</v>
          </cell>
          <cell r="H72">
            <v>5.1999999999999998E-3</v>
          </cell>
          <cell r="K72">
            <v>1.15E-2</v>
          </cell>
          <cell r="N72">
            <v>1.1023E-2</v>
          </cell>
        </row>
        <row r="73">
          <cell r="H73">
            <v>4.1999999999999997E-3</v>
          </cell>
          <cell r="K73">
            <v>5.4860000000000004E-3</v>
          </cell>
          <cell r="N73">
            <v>5.4099999999999999E-3</v>
          </cell>
        </row>
        <row r="74">
          <cell r="H74">
            <v>4.3E-3</v>
          </cell>
          <cell r="K74">
            <v>7.1640000000000002E-3</v>
          </cell>
          <cell r="N74">
            <v>1.315E-2</v>
          </cell>
        </row>
        <row r="75">
          <cell r="E75">
            <v>4.5999999999999999E-3</v>
          </cell>
          <cell r="H75">
            <v>-3.7000000000000002E-3</v>
          </cell>
          <cell r="K75">
            <v>5.3920000000000001E-3</v>
          </cell>
          <cell r="N75">
            <v>5.2880000000000002E-3</v>
          </cell>
        </row>
        <row r="76">
          <cell r="E76">
            <v>3.2000000000000002E-3</v>
          </cell>
          <cell r="H76">
            <v>-6.1000000000000004E-3</v>
          </cell>
          <cell r="K76">
            <v>5.5659999999999998E-3</v>
          </cell>
          <cell r="N76">
            <v>4.5820000000000001E-3</v>
          </cell>
        </row>
      </sheetData>
      <sheetData sheetId="3">
        <row r="5">
          <cell r="G5">
            <v>26106284.57</v>
          </cell>
          <cell r="I5">
            <v>1.0200000000000001E-2</v>
          </cell>
        </row>
        <row r="6">
          <cell r="G6">
            <v>11572067.93</v>
          </cell>
          <cell r="I6">
            <v>1.9400000000000001E-2</v>
          </cell>
        </row>
        <row r="7">
          <cell r="G7">
            <v>25649699.5</v>
          </cell>
          <cell r="I7">
            <v>2.0199999999999999E-2</v>
          </cell>
          <cell r="L7">
            <v>1.0329999999999999</v>
          </cell>
        </row>
        <row r="8">
          <cell r="G8">
            <v>29507499.210000001</v>
          </cell>
          <cell r="I8">
            <v>5.1000000000000004E-3</v>
          </cell>
        </row>
        <row r="9">
          <cell r="G9">
            <v>11976573.210000001</v>
          </cell>
          <cell r="I9">
            <v>5.1000000000000004E-3</v>
          </cell>
        </row>
        <row r="10">
          <cell r="G10">
            <v>20828822.969999999</v>
          </cell>
          <cell r="I10">
            <v>5.1000000000000004E-3</v>
          </cell>
        </row>
        <row r="12">
          <cell r="G12">
            <v>53604310.280000001</v>
          </cell>
          <cell r="I12">
            <v>1.6E-2</v>
          </cell>
          <cell r="M12">
            <v>1290858853.55</v>
          </cell>
        </row>
        <row r="13">
          <cell r="G13">
            <v>29949248.640000001</v>
          </cell>
          <cell r="I13">
            <v>1.3011E-2</v>
          </cell>
          <cell r="M13">
            <v>5461875715.0200005</v>
          </cell>
        </row>
        <row r="14">
          <cell r="G14">
            <v>21037571.620000001</v>
          </cell>
          <cell r="I14">
            <v>1.6022999999999999E-2</v>
          </cell>
          <cell r="M14">
            <v>2226807779.79</v>
          </cell>
        </row>
        <row r="15">
          <cell r="G15">
            <v>12730088.609999999</v>
          </cell>
          <cell r="I15">
            <v>1.0500000000000001E-2</v>
          </cell>
          <cell r="M15">
            <v>309883029.23000002</v>
          </cell>
        </row>
        <row r="16">
          <cell r="G16">
            <v>53417798.140000001</v>
          </cell>
          <cell r="I16">
            <v>1.5996E-2</v>
          </cell>
          <cell r="M16">
            <v>7642122550.6899996</v>
          </cell>
        </row>
        <row r="17">
          <cell r="G17">
            <v>107532737.43000001</v>
          </cell>
          <cell r="I17">
            <v>1.2980999999999999E-2</v>
          </cell>
          <cell r="M17">
            <v>3396431132.1100001</v>
          </cell>
        </row>
        <row r="18">
          <cell r="G18">
            <v>7017777.9400000004</v>
          </cell>
          <cell r="I18">
            <v>1.5800000000000002E-2</v>
          </cell>
          <cell r="M18">
            <v>1787620948.28</v>
          </cell>
        </row>
        <row r="19">
          <cell r="G19">
            <v>7170092.8399999999</v>
          </cell>
          <cell r="I19">
            <v>9.5999999999999992E-3</v>
          </cell>
          <cell r="M19">
            <v>59049620.740000002</v>
          </cell>
        </row>
        <row r="25">
          <cell r="G25">
            <v>0</v>
          </cell>
          <cell r="I25">
            <v>0</v>
          </cell>
          <cell r="M25">
            <v>6893035004.8800001</v>
          </cell>
        </row>
        <row r="26">
          <cell r="G26">
            <v>798627.39</v>
          </cell>
          <cell r="I26">
            <v>4.5999999999999999E-3</v>
          </cell>
          <cell r="M26">
            <v>8315053689.2200003</v>
          </cell>
        </row>
        <row r="27">
          <cell r="G27">
            <v>236217.35</v>
          </cell>
          <cell r="I27">
            <v>5.3E-3</v>
          </cell>
          <cell r="M27">
            <v>6997570434.0200005</v>
          </cell>
        </row>
        <row r="28">
          <cell r="G28">
            <v>53072256.170000002</v>
          </cell>
          <cell r="I28">
            <v>9.2250000000000006E-3</v>
          </cell>
          <cell r="M28">
            <v>1113606395.8299999</v>
          </cell>
        </row>
        <row r="29">
          <cell r="G29">
            <v>16212225.02</v>
          </cell>
          <cell r="I29">
            <v>7.4000000000000003E-3</v>
          </cell>
          <cell r="M29">
            <v>231611136.47</v>
          </cell>
        </row>
        <row r="30">
          <cell r="G30">
            <v>6375398.2400000002</v>
          </cell>
          <cell r="I30">
            <v>5.1999999999999998E-3</v>
          </cell>
          <cell r="M30">
            <v>9610867395.25</v>
          </cell>
        </row>
        <row r="31">
          <cell r="G31">
            <v>26789664.43</v>
          </cell>
          <cell r="I31">
            <v>1.03E-2</v>
          </cell>
          <cell r="M31">
            <v>1526063252.26</v>
          </cell>
        </row>
        <row r="32">
          <cell r="G32">
            <v>13867919.84</v>
          </cell>
          <cell r="I32">
            <v>5.1999999999999998E-3</v>
          </cell>
          <cell r="M32">
            <v>8893322367.3099995</v>
          </cell>
        </row>
        <row r="33">
          <cell r="G33">
            <v>48418813.420000002</v>
          </cell>
          <cell r="I33">
            <v>9.7000000000000003E-3</v>
          </cell>
          <cell r="M33">
            <v>1510550949.52</v>
          </cell>
        </row>
        <row r="34">
          <cell r="G34">
            <v>27826688.670000002</v>
          </cell>
          <cell r="I34">
            <v>1.6500000000000001E-2</v>
          </cell>
          <cell r="M34">
            <v>495849711.86000001</v>
          </cell>
        </row>
        <row r="40">
          <cell r="G40">
            <v>7010526.0499999998</v>
          </cell>
          <cell r="I40">
            <v>6.1000000000000004E-3</v>
          </cell>
          <cell r="M40">
            <v>492697259.19</v>
          </cell>
        </row>
        <row r="41">
          <cell r="G41">
            <v>39274.629999999997</v>
          </cell>
          <cell r="I41">
            <v>-1.18E-2</v>
          </cell>
          <cell r="M41">
            <v>916409.71</v>
          </cell>
        </row>
        <row r="42">
          <cell r="G42">
            <v>58503.14</v>
          </cell>
          <cell r="I42">
            <v>-0.20300000000000001</v>
          </cell>
          <cell r="M42">
            <v>1175931.06</v>
          </cell>
        </row>
        <row r="46">
          <cell r="G46">
            <v>39458518.460000001</v>
          </cell>
          <cell r="I46">
            <v>-2E-3</v>
          </cell>
          <cell r="M46">
            <v>763553525.20000005</v>
          </cell>
        </row>
        <row r="47">
          <cell r="G47">
            <v>18711120.780000001</v>
          </cell>
          <cell r="I47">
            <v>-2.18E-2</v>
          </cell>
          <cell r="M47">
            <v>276905023.88999999</v>
          </cell>
        </row>
        <row r="49">
          <cell r="G49">
            <v>0</v>
          </cell>
          <cell r="I49">
            <v>0</v>
          </cell>
          <cell r="M49">
            <v>0</v>
          </cell>
        </row>
        <row r="51">
          <cell r="G51">
            <v>10220207.02</v>
          </cell>
          <cell r="I51">
            <v>1.17E-2</v>
          </cell>
          <cell r="M51">
            <v>230802302.15000001</v>
          </cell>
        </row>
        <row r="52">
          <cell r="G52">
            <v>23515726.350000001</v>
          </cell>
          <cell r="I52">
            <v>4.4000000000000003E-3</v>
          </cell>
          <cell r="M52">
            <v>207746443.83000001</v>
          </cell>
        </row>
        <row r="53">
          <cell r="G53">
            <v>21578325.66</v>
          </cell>
          <cell r="I53">
            <v>0.03</v>
          </cell>
          <cell r="M53">
            <v>588053816.77999997</v>
          </cell>
        </row>
        <row r="54">
          <cell r="G54">
            <v>2820368.69</v>
          </cell>
          <cell r="I54">
            <v>1.29E-2</v>
          </cell>
          <cell r="M54">
            <v>338055223.95999998</v>
          </cell>
        </row>
        <row r="55">
          <cell r="G55">
            <v>7285780.5899999999</v>
          </cell>
          <cell r="I55" t="str">
            <v>0,64,%</v>
          </cell>
          <cell r="M55">
            <v>429147881.42000002</v>
          </cell>
        </row>
        <row r="58">
          <cell r="G58">
            <v>3364114.12</v>
          </cell>
          <cell r="I58">
            <v>-2.7663E-2</v>
          </cell>
          <cell r="M58">
            <v>1200877159.3299999</v>
          </cell>
        </row>
        <row r="59">
          <cell r="G59">
            <v>5358135</v>
          </cell>
          <cell r="I59">
            <v>1.2999999999999999E-3</v>
          </cell>
          <cell r="M59">
            <v>34817161.630000003</v>
          </cell>
        </row>
        <row r="61">
          <cell r="G61">
            <v>14022737.119999999</v>
          </cell>
          <cell r="I61">
            <v>-4.7399999999999997E-4</v>
          </cell>
          <cell r="M61">
            <v>99561433.519999996</v>
          </cell>
        </row>
        <row r="62">
          <cell r="G62">
            <v>463515.72</v>
          </cell>
          <cell r="I62">
            <v>-1.1999999999999999E-3</v>
          </cell>
          <cell r="M62">
            <v>216123151.28999999</v>
          </cell>
        </row>
        <row r="63">
          <cell r="G63">
            <v>857185.17</v>
          </cell>
          <cell r="I63">
            <v>5.6599999999999998E-2</v>
          </cell>
          <cell r="M63">
            <v>201862699.61000001</v>
          </cell>
        </row>
        <row r="65">
          <cell r="G65">
            <v>5900000</v>
          </cell>
          <cell r="I65">
            <v>0</v>
          </cell>
          <cell r="M65">
            <v>235426807.41</v>
          </cell>
        </row>
        <row r="66">
          <cell r="G66">
            <v>9647051.5399999991</v>
          </cell>
          <cell r="I66">
            <v>4.5100000000000001E-2</v>
          </cell>
          <cell r="M66">
            <v>138067375.53</v>
          </cell>
        </row>
        <row r="68">
          <cell r="G68">
            <v>5801.1</v>
          </cell>
          <cell r="I68">
            <v>0</v>
          </cell>
        </row>
        <row r="69">
          <cell r="G69">
            <v>261.33</v>
          </cell>
          <cell r="I69">
            <v>0</v>
          </cell>
        </row>
        <row r="70">
          <cell r="G70">
            <v>782015535.8900001</v>
          </cell>
        </row>
        <row r="71">
          <cell r="B71" t="str">
            <v>Meta Atuarial(INPC 0,07 + 0,486755)</v>
          </cell>
          <cell r="E71">
            <v>5.5999999999999999E-3</v>
          </cell>
          <cell r="H71">
            <v>5.1999999999999998E-3</v>
          </cell>
          <cell r="K71">
            <v>1.15E-2</v>
          </cell>
          <cell r="N71">
            <v>1.1023E-2</v>
          </cell>
        </row>
        <row r="72">
          <cell r="H72">
            <v>4.1999999999999997E-3</v>
          </cell>
          <cell r="K72">
            <v>5.4860000000000004E-3</v>
          </cell>
          <cell r="N72">
            <v>5.4099999999999999E-3</v>
          </cell>
        </row>
        <row r="73">
          <cell r="E73">
            <v>1.8E-3</v>
          </cell>
          <cell r="H73">
            <v>4.3E-3</v>
          </cell>
          <cell r="K73">
            <v>7.1640000000000002E-3</v>
          </cell>
          <cell r="N73">
            <v>1.315E-2</v>
          </cell>
        </row>
        <row r="74">
          <cell r="E74">
            <v>4.5999999999999999E-3</v>
          </cell>
          <cell r="H74">
            <v>-3.7000000000000002E-3</v>
          </cell>
          <cell r="K74">
            <v>5.3920000000000001E-3</v>
          </cell>
          <cell r="N74">
            <v>5.2880000000000002E-3</v>
          </cell>
        </row>
        <row r="75">
          <cell r="E75">
            <v>3.2000000000000002E-3</v>
          </cell>
          <cell r="H75">
            <v>-6.1000000000000004E-3</v>
          </cell>
          <cell r="K75">
            <v>5.5659999999999998E-3</v>
          </cell>
          <cell r="N75">
            <v>4.5820000000000001E-3</v>
          </cell>
        </row>
      </sheetData>
      <sheetData sheetId="4">
        <row r="5">
          <cell r="G5">
            <v>26214307.469999999</v>
          </cell>
          <cell r="I5">
            <v>4.1000000000000003E-3</v>
          </cell>
        </row>
        <row r="6">
          <cell r="G6">
            <v>11648026.32</v>
          </cell>
          <cell r="I6">
            <v>6.6E-3</v>
          </cell>
        </row>
        <row r="7">
          <cell r="G7">
            <v>25645558.32</v>
          </cell>
          <cell r="I7">
            <v>-2.0000000000000001E-4</v>
          </cell>
          <cell r="L7">
            <v>-0.1363</v>
          </cell>
        </row>
        <row r="8">
          <cell r="G8">
            <v>29328982.780000001</v>
          </cell>
          <cell r="I8">
            <v>-6.0000000000000001E-3</v>
          </cell>
        </row>
        <row r="9">
          <cell r="G9">
            <v>11904116.539999999</v>
          </cell>
          <cell r="I9">
            <v>-6.0000000000000001E-3</v>
          </cell>
        </row>
        <row r="10">
          <cell r="G10">
            <v>20702811.370000001</v>
          </cell>
          <cell r="I10">
            <v>-6.0000000000000001E-3</v>
          </cell>
        </row>
        <row r="12">
          <cell r="G12">
            <v>54512128.600000001</v>
          </cell>
          <cell r="I12">
            <v>4.0000000000000001E-3</v>
          </cell>
          <cell r="M12">
            <v>1304781541.54</v>
          </cell>
        </row>
        <row r="13">
          <cell r="G13">
            <v>25149548.120000001</v>
          </cell>
          <cell r="I13">
            <v>6.0000000000000001E-3</v>
          </cell>
          <cell r="M13">
            <v>3392469637.4099998</v>
          </cell>
        </row>
        <row r="14">
          <cell r="G14">
            <v>30077325.629999999</v>
          </cell>
          <cell r="I14">
            <v>4.2760000000000003E-3</v>
          </cell>
          <cell r="M14">
            <v>6009699793.3500004</v>
          </cell>
        </row>
        <row r="15">
          <cell r="G15">
            <v>12712609.58</v>
          </cell>
          <cell r="I15">
            <v>-1.4E-3</v>
          </cell>
          <cell r="M15">
            <v>304351025.89999998</v>
          </cell>
        </row>
        <row r="16">
          <cell r="G16">
            <v>53634291.700000003</v>
          </cell>
          <cell r="I16">
            <v>4.0530000000000002E-3</v>
          </cell>
          <cell r="M16">
            <v>7947962119.2799997</v>
          </cell>
        </row>
        <row r="17">
          <cell r="G17">
            <v>82769520.459999993</v>
          </cell>
          <cell r="I17">
            <v>3.5560000000000001E-3</v>
          </cell>
          <cell r="M17">
            <v>3808020951.6799998</v>
          </cell>
        </row>
        <row r="18">
          <cell r="G18">
            <v>7045018.3700000001</v>
          </cell>
          <cell r="I18">
            <v>3.8999999999999998E-3</v>
          </cell>
          <cell r="M18">
            <v>1629746203.4100001</v>
          </cell>
        </row>
        <row r="19">
          <cell r="G19">
            <v>7152881.7599999998</v>
          </cell>
          <cell r="I19">
            <v>-2.3999999999999998E-3</v>
          </cell>
          <cell r="M19">
            <v>42265998.509999998</v>
          </cell>
        </row>
        <row r="23">
          <cell r="G23">
            <v>21552635.32</v>
          </cell>
          <cell r="I23">
            <v>4.0470000000000002E-3</v>
          </cell>
          <cell r="M23">
            <v>2311189701.0300002</v>
          </cell>
        </row>
        <row r="24">
          <cell r="G24">
            <v>52980035.340000004</v>
          </cell>
          <cell r="I24">
            <v>-1.737E-3</v>
          </cell>
          <cell r="M24">
            <v>1062885814.6</v>
          </cell>
        </row>
        <row r="25">
          <cell r="G25">
            <v>48330287.590000004</v>
          </cell>
          <cell r="I25">
            <v>-1.8E-3</v>
          </cell>
          <cell r="M25">
            <v>1387194609.97</v>
          </cell>
        </row>
        <row r="26">
          <cell r="G26">
            <v>27934402.890000001</v>
          </cell>
          <cell r="I26">
            <v>3.8999999999999998E-3</v>
          </cell>
          <cell r="M26">
            <v>563080501.40999997</v>
          </cell>
        </row>
        <row r="29">
          <cell r="I29">
            <v>0</v>
          </cell>
          <cell r="M29">
            <v>6893035004.8800001</v>
          </cell>
        </row>
        <row r="30">
          <cell r="G30">
            <v>342739.18</v>
          </cell>
          <cell r="I30">
            <v>4.4000000000000003E-3</v>
          </cell>
          <cell r="M30">
            <v>8272359631.5</v>
          </cell>
        </row>
        <row r="31">
          <cell r="G31">
            <v>204793.1</v>
          </cell>
          <cell r="I31">
            <v>5.1000000000000004E-3</v>
          </cell>
          <cell r="M31">
            <v>6915756068.6400003</v>
          </cell>
        </row>
        <row r="32">
          <cell r="G32">
            <v>16271043.140000001</v>
          </cell>
          <cell r="I32">
            <v>3.5999999999999999E-3</v>
          </cell>
          <cell r="M32">
            <v>212048137.00999999</v>
          </cell>
        </row>
        <row r="33">
          <cell r="G33">
            <v>6407622.5300000003</v>
          </cell>
          <cell r="I33">
            <v>5.1000000000000004E-3</v>
          </cell>
          <cell r="M33">
            <v>10198016708.379999</v>
          </cell>
        </row>
        <row r="34">
          <cell r="G34">
            <v>26876924.34</v>
          </cell>
          <cell r="I34">
            <v>3.3E-3</v>
          </cell>
          <cell r="M34">
            <v>1496208831.23</v>
          </cell>
        </row>
        <row r="35">
          <cell r="G35">
            <v>13937989.48</v>
          </cell>
          <cell r="I35">
            <v>5.1000000000000004E-3</v>
          </cell>
          <cell r="M35">
            <v>8876380016.0200005</v>
          </cell>
        </row>
        <row r="41">
          <cell r="G41">
            <v>7053355.8499999996</v>
          </cell>
          <cell r="I41">
            <v>6.1000000000000004E-3</v>
          </cell>
          <cell r="M41">
            <v>398689938.01999998</v>
          </cell>
        </row>
        <row r="42">
          <cell r="G42">
            <v>38405.42</v>
          </cell>
          <cell r="I42">
            <v>-2.2100000000000002E-2</v>
          </cell>
          <cell r="M42">
            <v>896128.08</v>
          </cell>
        </row>
        <row r="43">
          <cell r="G43">
            <v>47292.92</v>
          </cell>
          <cell r="I43">
            <v>-0.19159999999999999</v>
          </cell>
          <cell r="M43">
            <v>950602.02</v>
          </cell>
        </row>
        <row r="47">
          <cell r="G47">
            <v>39637094.219999999</v>
          </cell>
          <cell r="I47">
            <v>4.4999999999999997E-3</v>
          </cell>
          <cell r="M47">
            <v>737314466.39999998</v>
          </cell>
        </row>
        <row r="48">
          <cell r="G48">
            <v>20140179.690000001</v>
          </cell>
          <cell r="I48">
            <v>7.6399999999999996E-2</v>
          </cell>
          <cell r="M48">
            <v>304420623.66000003</v>
          </cell>
        </row>
        <row r="50">
          <cell r="G50">
            <v>0</v>
          </cell>
          <cell r="I50">
            <v>0</v>
          </cell>
          <cell r="M50">
            <v>0</v>
          </cell>
        </row>
        <row r="52">
          <cell r="G52">
            <v>10057851.09</v>
          </cell>
          <cell r="I52">
            <v>-1.5900000000000001E-2</v>
          </cell>
          <cell r="M52">
            <v>242046785.06999999</v>
          </cell>
        </row>
        <row r="53">
          <cell r="G53">
            <v>24415180.73</v>
          </cell>
          <cell r="I53">
            <v>3.8199999999999998E-2</v>
          </cell>
          <cell r="M53">
            <v>220320945.19</v>
          </cell>
        </row>
        <row r="54">
          <cell r="G54">
            <v>21808396.66</v>
          </cell>
          <cell r="I54">
            <v>1.0699999999999999E-2</v>
          </cell>
          <cell r="M54">
            <v>628177198.98000002</v>
          </cell>
        </row>
        <row r="55">
          <cell r="G55">
            <v>2874584.73</v>
          </cell>
          <cell r="I55">
            <v>1.9199999999999998E-2</v>
          </cell>
          <cell r="M55">
            <v>398949719.56</v>
          </cell>
        </row>
        <row r="56">
          <cell r="G56">
            <v>7241545.7999999998</v>
          </cell>
          <cell r="I56">
            <v>-6.1000000000000004E-3</v>
          </cell>
          <cell r="M56">
            <v>456334337.70999998</v>
          </cell>
        </row>
        <row r="59">
          <cell r="G59">
            <v>3383934.91</v>
          </cell>
          <cell r="I59">
            <v>5.8999999999999999E-3</v>
          </cell>
          <cell r="M59">
            <v>1093531923.9400001</v>
          </cell>
        </row>
        <row r="60">
          <cell r="G60">
            <v>5326353.5</v>
          </cell>
          <cell r="I60">
            <v>-5.8999999999999999E-3</v>
          </cell>
          <cell r="M60">
            <v>34610648.189999998</v>
          </cell>
        </row>
        <row r="62">
          <cell r="G62">
            <v>14033097.630000001</v>
          </cell>
          <cell r="I62">
            <v>7.3899999999999997E-4</v>
          </cell>
          <cell r="M62">
            <v>99634993.189999998</v>
          </cell>
        </row>
        <row r="63">
          <cell r="G63">
            <v>470888.71</v>
          </cell>
          <cell r="I63">
            <v>2.7000000000000001E-3</v>
          </cell>
          <cell r="M63">
            <v>214711361.44</v>
          </cell>
        </row>
        <row r="64">
          <cell r="G64">
            <v>852014.13</v>
          </cell>
          <cell r="I64">
            <v>-6.0000000000000001E-3</v>
          </cell>
          <cell r="M64">
            <v>215843454.55000001</v>
          </cell>
        </row>
        <row r="66">
          <cell r="G66">
            <v>5281100</v>
          </cell>
          <cell r="I66">
            <v>-0.10489999999999999</v>
          </cell>
          <cell r="M66">
            <v>236753106.78999999</v>
          </cell>
        </row>
        <row r="67">
          <cell r="G67">
            <v>9344839.1400000006</v>
          </cell>
          <cell r="I67">
            <v>-3.1300000000000001E-2</v>
          </cell>
          <cell r="M67">
            <v>139047318.09</v>
          </cell>
        </row>
        <row r="69">
          <cell r="G69">
            <v>397453.28</v>
          </cell>
          <cell r="I69">
            <v>0</v>
          </cell>
        </row>
        <row r="70">
          <cell r="G70">
            <v>646851.81000000006</v>
          </cell>
          <cell r="I70">
            <v>0</v>
          </cell>
        </row>
        <row r="71">
          <cell r="G71">
            <v>786386020.14999998</v>
          </cell>
        </row>
        <row r="72">
          <cell r="B72" t="str">
            <v>Meta Atuarial(INPC 0,21 + 0,486755)</v>
          </cell>
          <cell r="E72">
            <v>6.9769999999999997E-3</v>
          </cell>
          <cell r="H72">
            <v>8.8000000000000005E-3</v>
          </cell>
          <cell r="K72">
            <v>-8.6E-3</v>
          </cell>
          <cell r="N72">
            <v>4.6620000000000003E-3</v>
          </cell>
        </row>
        <row r="73">
          <cell r="H73">
            <v>8.2000000000000007E-3</v>
          </cell>
          <cell r="K73">
            <v>-1.438E-3</v>
          </cell>
          <cell r="N73">
            <v>5.0549999999999996E-3</v>
          </cell>
        </row>
        <row r="74">
          <cell r="E74">
            <v>2.0999999999999999E-3</v>
          </cell>
          <cell r="H74">
            <v>6.4000000000000003E-3</v>
          </cell>
          <cell r="K74">
            <v>3.1840000000000002E-3</v>
          </cell>
          <cell r="N74">
            <v>4.5319999999999996E-3</v>
          </cell>
        </row>
        <row r="75">
          <cell r="E75">
            <v>5.1999999999999998E-3</v>
          </cell>
          <cell r="H75">
            <v>2.3699999999999999E-2</v>
          </cell>
          <cell r="K75">
            <v>4.215E-3</v>
          </cell>
          <cell r="N75">
            <v>9.7990000000000004E-3</v>
          </cell>
        </row>
        <row r="76">
          <cell r="E76">
            <v>2.2000000000000001E-3</v>
          </cell>
          <cell r="H76">
            <v>-1.4200000000000001E-2</v>
          </cell>
          <cell r="K76">
            <v>-6.2899999999999996E-3</v>
          </cell>
          <cell r="N76">
            <v>5.1460000000000004E-3</v>
          </cell>
        </row>
      </sheetData>
      <sheetData sheetId="5">
        <row r="5">
          <cell r="G5">
            <v>25491812.030000001</v>
          </cell>
          <cell r="I5">
            <v>4.1000000000000003E-3</v>
          </cell>
        </row>
        <row r="6">
          <cell r="G6">
            <v>11143228.130000001</v>
          </cell>
          <cell r="I6">
            <v>6.6E-3</v>
          </cell>
        </row>
        <row r="7">
          <cell r="G7">
            <v>24169030.77</v>
          </cell>
          <cell r="I7">
            <v>-2.0000000000000001E-4</v>
          </cell>
          <cell r="L7">
            <v>-1.9174</v>
          </cell>
        </row>
        <row r="8">
          <cell r="G8">
            <v>27337853.109999999</v>
          </cell>
          <cell r="I8">
            <v>-6.0000000000000001E-3</v>
          </cell>
        </row>
        <row r="9">
          <cell r="G9">
            <v>11095952.140000001</v>
          </cell>
          <cell r="I9">
            <v>-6.0000000000000001E-3</v>
          </cell>
        </row>
        <row r="10">
          <cell r="G10">
            <v>19297308.079999998</v>
          </cell>
          <cell r="I10">
            <v>-6.0000000000000001E-3</v>
          </cell>
        </row>
        <row r="12">
          <cell r="G12">
            <v>65739490.810000002</v>
          </cell>
          <cell r="I12">
            <v>-1.5800000000000002E-2</v>
          </cell>
          <cell r="M12">
            <v>1277276763.3299999</v>
          </cell>
        </row>
        <row r="13">
          <cell r="G13">
            <v>24670287.68</v>
          </cell>
          <cell r="I13">
            <v>-1.9099999999999999E-2</v>
          </cell>
          <cell r="M13">
            <v>3054612016.3800001</v>
          </cell>
        </row>
        <row r="14">
          <cell r="G14">
            <v>29518837.07</v>
          </cell>
          <cell r="I14">
            <v>-1.8568000000000001E-2</v>
          </cell>
          <cell r="M14">
            <v>5820256953.7399998</v>
          </cell>
        </row>
        <row r="15">
          <cell r="G15">
            <v>12281258.609999999</v>
          </cell>
          <cell r="I15">
            <v>-3.39E-2</v>
          </cell>
          <cell r="M15">
            <v>289675897.22000003</v>
          </cell>
        </row>
        <row r="16">
          <cell r="G16">
            <v>52783092.840000004</v>
          </cell>
          <cell r="I16">
            <v>-1.5869999999999999E-2</v>
          </cell>
          <cell r="M16">
            <v>7970993081.7200003</v>
          </cell>
        </row>
        <row r="17">
          <cell r="G17">
            <v>81185673.530000001</v>
          </cell>
          <cell r="I17">
            <v>-1.9134999999999999E-2</v>
          </cell>
          <cell r="M17">
            <v>2993117129.6599998</v>
          </cell>
        </row>
        <row r="18">
          <cell r="G18">
            <v>6933186.2300000004</v>
          </cell>
          <cell r="I18">
            <v>-1.5900000000000001E-2</v>
          </cell>
          <cell r="M18">
            <v>1549175143.3199999</v>
          </cell>
        </row>
        <row r="22">
          <cell r="G22">
            <v>21653543.399999999</v>
          </cell>
          <cell r="I22">
            <v>-1.5664999999999998E-2</v>
          </cell>
          <cell r="M22">
            <v>2288647358.1100001</v>
          </cell>
        </row>
        <row r="23">
          <cell r="G23">
            <v>51316086.509999998</v>
          </cell>
          <cell r="I23">
            <v>-3.1406999999999997E-2</v>
          </cell>
          <cell r="M23">
            <v>995339470.07000005</v>
          </cell>
        </row>
        <row r="24">
          <cell r="G24">
            <v>46725826.490000002</v>
          </cell>
          <cell r="I24">
            <v>-3.32E-2</v>
          </cell>
          <cell r="M24">
            <v>1307948877.1099999</v>
          </cell>
        </row>
        <row r="25">
          <cell r="G25">
            <v>27454801.18</v>
          </cell>
          <cell r="I25">
            <v>-1.72E-2</v>
          </cell>
          <cell r="M25">
            <v>559136229.24000001</v>
          </cell>
        </row>
        <row r="28">
          <cell r="G28">
            <v>641941.01</v>
          </cell>
          <cell r="I28">
            <v>4.3E-3</v>
          </cell>
          <cell r="M28">
            <v>8259624678.1499996</v>
          </cell>
        </row>
        <row r="29">
          <cell r="G29">
            <v>216369</v>
          </cell>
          <cell r="I29">
            <v>5.0000000000000001E-3</v>
          </cell>
          <cell r="M29">
            <v>6823037381.7600002</v>
          </cell>
        </row>
        <row r="30">
          <cell r="G30">
            <v>16230171.890000001</v>
          </cell>
          <cell r="I30">
            <v>-2.5000000000000001E-3</v>
          </cell>
          <cell r="M30">
            <v>220096190.69</v>
          </cell>
        </row>
        <row r="31">
          <cell r="G31">
            <v>6439626.4400000004</v>
          </cell>
          <cell r="I31">
            <v>5.0000000000000001E-3</v>
          </cell>
          <cell r="M31">
            <v>11178643343.379999</v>
          </cell>
        </row>
        <row r="32">
          <cell r="G32">
            <v>26783763.460000001</v>
          </cell>
          <cell r="I32">
            <v>-3.5000000000000001E-3</v>
          </cell>
          <cell r="M32">
            <v>1490374454.0699999</v>
          </cell>
        </row>
        <row r="33">
          <cell r="G33">
            <v>14007478.630000001</v>
          </cell>
          <cell r="I33">
            <v>5.0000000000000001E-3</v>
          </cell>
          <cell r="M33">
            <v>8865667473.8700008</v>
          </cell>
        </row>
        <row r="39">
          <cell r="G39">
            <v>7096447.3099999996</v>
          </cell>
          <cell r="I39">
            <v>6.1000000000000004E-3</v>
          </cell>
          <cell r="M39">
            <v>562011411.71000004</v>
          </cell>
        </row>
        <row r="40">
          <cell r="G40">
            <v>38451.86</v>
          </cell>
          <cell r="I40">
            <v>1.1999999999999999E-3</v>
          </cell>
          <cell r="M40">
            <v>897211.6</v>
          </cell>
        </row>
        <row r="41">
          <cell r="G41">
            <v>43606.080000000002</v>
          </cell>
          <cell r="I41">
            <v>-7.8200000000000006E-2</v>
          </cell>
          <cell r="M41">
            <v>950602.02</v>
          </cell>
        </row>
        <row r="45">
          <cell r="G45">
            <v>35955906.539999999</v>
          </cell>
          <cell r="I45">
            <v>-9.2899999999999996E-2</v>
          </cell>
          <cell r="M45">
            <v>696540366.34000003</v>
          </cell>
        </row>
        <row r="46">
          <cell r="G46">
            <v>21893304.850000001</v>
          </cell>
          <cell r="I46">
            <v>8.6999999999999994E-2</v>
          </cell>
          <cell r="M46">
            <v>322943648.32999998</v>
          </cell>
        </row>
        <row r="48">
          <cell r="G48">
            <v>0</v>
          </cell>
          <cell r="I48">
            <v>0</v>
          </cell>
          <cell r="M48">
            <v>0</v>
          </cell>
        </row>
        <row r="50">
          <cell r="G50">
            <v>9009457.2200000007</v>
          </cell>
          <cell r="I50">
            <v>-0.1042</v>
          </cell>
          <cell r="M50">
            <v>215692074.27000001</v>
          </cell>
        </row>
        <row r="51">
          <cell r="G51">
            <v>21889646.530000001</v>
          </cell>
          <cell r="I51">
            <v>-0.10340000000000001</v>
          </cell>
          <cell r="M51">
            <v>204206328.05000001</v>
          </cell>
        </row>
        <row r="52">
          <cell r="G52">
            <v>20105378.440000001</v>
          </cell>
          <cell r="I52">
            <v>-7.8100000000000003E-2</v>
          </cell>
          <cell r="M52">
            <v>598533700.20000005</v>
          </cell>
        </row>
        <row r="53">
          <cell r="G53">
            <v>2626904.84</v>
          </cell>
          <cell r="I53">
            <v>-8.6199999999999999E-2</v>
          </cell>
          <cell r="M53">
            <v>396266741.01999998</v>
          </cell>
        </row>
        <row r="54">
          <cell r="G54">
            <v>6475256.6699999999</v>
          </cell>
          <cell r="I54">
            <v>-0.10580000000000001</v>
          </cell>
          <cell r="M54">
            <v>410294994.58999997</v>
          </cell>
        </row>
        <row r="57">
          <cell r="G57">
            <v>3497448.47</v>
          </cell>
          <cell r="I57">
            <v>3.39E-2</v>
          </cell>
          <cell r="M57">
            <v>1065111919.7</v>
          </cell>
        </row>
        <row r="58">
          <cell r="G58">
            <v>5566878.5</v>
          </cell>
          <cell r="I58">
            <v>4.5199999999999997E-2</v>
          </cell>
          <cell r="M58">
            <v>36173579.079999998</v>
          </cell>
        </row>
        <row r="60">
          <cell r="G60">
            <v>14056429.789999999</v>
          </cell>
          <cell r="I60">
            <v>-2.47E-3</v>
          </cell>
          <cell r="M60">
            <v>99446880.590000004</v>
          </cell>
        </row>
        <row r="61">
          <cell r="G61">
            <v>224826.46</v>
          </cell>
          <cell r="I61">
            <v>-6.3200000000000006E-2</v>
          </cell>
          <cell r="M61">
            <v>8964955.2200000007</v>
          </cell>
        </row>
        <row r="62">
          <cell r="G62">
            <v>470328.13</v>
          </cell>
          <cell r="I62">
            <v>-1.1999999999999999E-3</v>
          </cell>
          <cell r="M62">
            <v>213614026.62</v>
          </cell>
        </row>
        <row r="63">
          <cell r="G63">
            <v>846850.37</v>
          </cell>
          <cell r="I63">
            <v>-6.1000000000000004E-3</v>
          </cell>
          <cell r="M63">
            <v>214521557.38</v>
          </cell>
        </row>
        <row r="65">
          <cell r="G65">
            <v>4850000</v>
          </cell>
          <cell r="I65">
            <v>-8.1600000000000006E-2</v>
          </cell>
          <cell r="M65">
            <v>234883607.43000001</v>
          </cell>
        </row>
        <row r="66">
          <cell r="G66">
            <v>8902313.8399999999</v>
          </cell>
          <cell r="I66">
            <v>-4.7399999999999998E-2</v>
          </cell>
          <cell r="M66">
            <v>139522726.03999999</v>
          </cell>
        </row>
        <row r="68">
          <cell r="G68">
            <v>3744.12</v>
          </cell>
          <cell r="I68">
            <v>0</v>
          </cell>
        </row>
        <row r="69">
          <cell r="G69">
            <v>1304.1600000000001</v>
          </cell>
          <cell r="I69">
            <v>0</v>
          </cell>
        </row>
        <row r="70">
          <cell r="G70">
            <v>766671103.22000003</v>
          </cell>
        </row>
        <row r="71">
          <cell r="B71" t="str">
            <v>Meta Atuarial(INPC 0,43 + 0,486755)</v>
          </cell>
          <cell r="E71">
            <v>9.1999999999999998E-3</v>
          </cell>
          <cell r="H71">
            <v>-0.1087</v>
          </cell>
          <cell r="K71">
            <v>-5.2699999999999997E-2</v>
          </cell>
          <cell r="N71">
            <v>-1.8533000000000001E-2</v>
          </cell>
        </row>
        <row r="72">
          <cell r="H72">
            <v>-0.1091</v>
          </cell>
          <cell r="K72">
            <v>-3.1569E-2</v>
          </cell>
          <cell r="N72">
            <v>1.9810000000000001E-3</v>
          </cell>
        </row>
        <row r="73">
          <cell r="E73">
            <v>4.3E-3</v>
          </cell>
          <cell r="H73">
            <v>-0.10879999999999999</v>
          </cell>
          <cell r="K73">
            <v>-1.4263E-2</v>
          </cell>
          <cell r="N73">
            <v>-2.623E-2</v>
          </cell>
        </row>
        <row r="74">
          <cell r="E74">
            <v>5.1999999999999998E-3</v>
          </cell>
          <cell r="H74">
            <v>-0.11310000000000001</v>
          </cell>
          <cell r="K74">
            <v>-1.5573E-2</v>
          </cell>
          <cell r="N74">
            <v>-4.6569999999999997E-3</v>
          </cell>
        </row>
        <row r="75">
          <cell r="E75">
            <v>4.0000000000000001E-3</v>
          </cell>
          <cell r="H75">
            <v>-0.1053</v>
          </cell>
          <cell r="K75">
            <v>-4.6530000000000002E-2</v>
          </cell>
          <cell r="N75">
            <v>5.0229999999999997E-3</v>
          </cell>
        </row>
      </sheetData>
      <sheetData sheetId="6">
        <row r="5">
          <cell r="G5">
            <v>25702088.719999999</v>
          </cell>
          <cell r="I5">
            <v>8.2000000000000007E-3</v>
          </cell>
        </row>
        <row r="6">
          <cell r="G6">
            <v>11156770.17</v>
          </cell>
          <cell r="I6">
            <v>1.1999999999999999E-3</v>
          </cell>
        </row>
        <row r="7">
          <cell r="G7">
            <v>24256853.649999999</v>
          </cell>
          <cell r="I7">
            <v>3.5999999999999999E-3</v>
          </cell>
          <cell r="L7">
            <v>-0.107</v>
          </cell>
        </row>
        <row r="8">
          <cell r="G8">
            <v>27120063.68</v>
          </cell>
          <cell r="I8">
            <v>-8.0000000000000002E-3</v>
          </cell>
        </row>
        <row r="9">
          <cell r="G9">
            <v>11007555.26</v>
          </cell>
          <cell r="I9">
            <v>-8.0000000000000002E-3</v>
          </cell>
        </row>
        <row r="10">
          <cell r="G10">
            <v>19143574.359999999</v>
          </cell>
          <cell r="I10">
            <v>-8.0000000000000002E-3</v>
          </cell>
        </row>
        <row r="12">
          <cell r="G12">
            <v>67350221.519999996</v>
          </cell>
          <cell r="I12">
            <v>4.4000000000000003E-3</v>
          </cell>
          <cell r="M12">
            <v>1137325220.3800001</v>
          </cell>
        </row>
        <row r="13">
          <cell r="G13">
            <v>24664865.18</v>
          </cell>
          <cell r="I13">
            <v>-2.0000000000000001E-4</v>
          </cell>
          <cell r="M13">
            <v>2084814916.3499999</v>
          </cell>
        </row>
        <row r="14">
          <cell r="G14">
            <v>29523148.780000001</v>
          </cell>
          <cell r="I14">
            <v>1.46E-4</v>
          </cell>
          <cell r="M14">
            <v>5450225090.3400002</v>
          </cell>
        </row>
        <row r="15">
          <cell r="G15">
            <v>12202951.310000001</v>
          </cell>
          <cell r="I15">
            <v>-6.4000000000000003E-3</v>
          </cell>
          <cell r="M15">
            <v>266769930.24000001</v>
          </cell>
        </row>
        <row r="16">
          <cell r="G16">
            <v>53005172.539999999</v>
          </cell>
          <cell r="I16">
            <v>4.2069999999999998E-3</v>
          </cell>
          <cell r="M16">
            <v>7668949035.8800001</v>
          </cell>
        </row>
        <row r="17">
          <cell r="G17">
            <v>81213442.439999998</v>
          </cell>
          <cell r="I17">
            <v>3.4200000000000002E-4</v>
          </cell>
          <cell r="M17">
            <v>2475197893.0100002</v>
          </cell>
        </row>
        <row r="18">
          <cell r="G18">
            <v>6961499.46</v>
          </cell>
          <cell r="I18">
            <v>4.1000000000000003E-3</v>
          </cell>
          <cell r="M18">
            <v>1315428330.5799999</v>
          </cell>
        </row>
        <row r="22">
          <cell r="G22">
            <v>22261708.43</v>
          </cell>
          <cell r="I22">
            <v>4.2839999999999996E-3</v>
          </cell>
          <cell r="M22">
            <v>2255256718.3099999</v>
          </cell>
        </row>
        <row r="23">
          <cell r="G23">
            <v>51110714.880000003</v>
          </cell>
          <cell r="I23">
            <v>-4.0020000000000003E-3</v>
          </cell>
          <cell r="M23">
            <v>892147310.44000006</v>
          </cell>
        </row>
        <row r="24">
          <cell r="G24">
            <v>46526867.469999999</v>
          </cell>
          <cell r="I24">
            <v>-4.3E-3</v>
          </cell>
          <cell r="M24">
            <v>1261917384.0999999</v>
          </cell>
        </row>
        <row r="25">
          <cell r="G25">
            <v>27559364.809999999</v>
          </cell>
          <cell r="I25">
            <v>3.8E-3</v>
          </cell>
          <cell r="M25">
            <v>536163794.24000001</v>
          </cell>
        </row>
        <row r="28">
          <cell r="G28">
            <v>724062.52</v>
          </cell>
          <cell r="I28">
            <v>4.4000000000000003E-3</v>
          </cell>
          <cell r="M28">
            <v>8298531266.0500002</v>
          </cell>
        </row>
        <row r="29">
          <cell r="G29">
            <v>177883.81</v>
          </cell>
          <cell r="I29">
            <v>5.1000000000000004E-3</v>
          </cell>
          <cell r="M29">
            <v>6681676467.8599997</v>
          </cell>
        </row>
        <row r="30">
          <cell r="G30">
            <v>16236020.869999999</v>
          </cell>
          <cell r="I30">
            <v>4.0000000000000002E-4</v>
          </cell>
          <cell r="M30">
            <v>209312582.94</v>
          </cell>
        </row>
        <row r="31">
          <cell r="G31">
            <v>6472212.6200000001</v>
          </cell>
          <cell r="I31">
            <v>5.1000000000000004E-3</v>
          </cell>
          <cell r="M31">
            <v>10845925063.57</v>
          </cell>
        </row>
        <row r="32">
          <cell r="G32">
            <v>26940600.039999999</v>
          </cell>
          <cell r="I32">
            <v>5.8999999999999999E-3</v>
          </cell>
          <cell r="M32">
            <v>1494479068.4000001</v>
          </cell>
        </row>
        <row r="33">
          <cell r="G33">
            <v>14078380.84</v>
          </cell>
          <cell r="I33">
            <v>5.1000000000000004E-3</v>
          </cell>
          <cell r="M33">
            <v>9019941616.7399998</v>
          </cell>
        </row>
        <row r="39">
          <cell r="G39">
            <v>7139802.04</v>
          </cell>
          <cell r="I39">
            <v>6.1000000000000004E-3</v>
          </cell>
          <cell r="M39">
            <v>568645636.95000005</v>
          </cell>
        </row>
        <row r="40">
          <cell r="G40">
            <v>37570.6</v>
          </cell>
          <cell r="I40">
            <v>-2.29E-2</v>
          </cell>
          <cell r="M40">
            <v>876648.77</v>
          </cell>
        </row>
        <row r="41">
          <cell r="G41">
            <v>41885.949999999997</v>
          </cell>
          <cell r="I41">
            <v>-3.9399999999999998E-2</v>
          </cell>
          <cell r="M41">
            <v>841920.33</v>
          </cell>
        </row>
        <row r="45">
          <cell r="G45">
            <v>34307165.350000001</v>
          </cell>
          <cell r="I45">
            <v>-4.5900000000000003E-2</v>
          </cell>
          <cell r="M45">
            <v>674378078.38999999</v>
          </cell>
        </row>
        <row r="46">
          <cell r="G46">
            <v>22569499.390000001</v>
          </cell>
          <cell r="I46">
            <v>3.09E-2</v>
          </cell>
          <cell r="M46">
            <v>343388176.17000002</v>
          </cell>
        </row>
        <row r="48">
          <cell r="G48">
            <v>0</v>
          </cell>
          <cell r="I48">
            <v>0</v>
          </cell>
          <cell r="M48">
            <v>0</v>
          </cell>
        </row>
        <row r="50">
          <cell r="G50">
            <v>8640776.3699999992</v>
          </cell>
          <cell r="I50">
            <v>-4.0899999999999999E-2</v>
          </cell>
          <cell r="M50">
            <v>196913073.43000001</v>
          </cell>
        </row>
        <row r="51">
          <cell r="G51">
            <v>5986544.7699999996</v>
          </cell>
          <cell r="I51">
            <v>-3.0700000000000002E-2</v>
          </cell>
          <cell r="M51">
            <v>717829001.25999999</v>
          </cell>
        </row>
        <row r="52">
          <cell r="G52">
            <v>21168568.059999999</v>
          </cell>
          <cell r="I52">
            <v>-3.2899999999999999E-2</v>
          </cell>
          <cell r="M52">
            <v>200215339.43000001</v>
          </cell>
        </row>
        <row r="53">
          <cell r="G53">
            <v>19582854.940000001</v>
          </cell>
          <cell r="I53">
            <v>-2.5999999999999999E-2</v>
          </cell>
          <cell r="M53">
            <v>599564848.42999995</v>
          </cell>
        </row>
        <row r="54">
          <cell r="G54">
            <v>2512521.83</v>
          </cell>
          <cell r="I54">
            <v>-4.3499999999999997E-2</v>
          </cell>
          <cell r="M54">
            <v>472313252.19</v>
          </cell>
        </row>
        <row r="55">
          <cell r="G55">
            <v>6129727.8200000003</v>
          </cell>
          <cell r="I55">
            <v>-5.3400000000000003E-2</v>
          </cell>
          <cell r="M55">
            <v>387954203.89999998</v>
          </cell>
        </row>
        <row r="58">
          <cell r="G58">
            <v>3503122.85</v>
          </cell>
          <cell r="I58">
            <v>1.6000000000000001E-3</v>
          </cell>
          <cell r="M58">
            <v>1037025558.5</v>
          </cell>
        </row>
        <row r="59">
          <cell r="G59">
            <v>0</v>
          </cell>
          <cell r="I59">
            <v>0</v>
          </cell>
          <cell r="M59">
            <v>0</v>
          </cell>
        </row>
        <row r="61">
          <cell r="G61">
            <v>14033220.07</v>
          </cell>
          <cell r="I61">
            <v>-1.6509999999999999E-3</v>
          </cell>
          <cell r="M61">
            <v>99577963.319999993</v>
          </cell>
        </row>
        <row r="62">
          <cell r="G62">
            <v>161180.28</v>
          </cell>
          <cell r="I62">
            <v>-0.28310000000000002</v>
          </cell>
          <cell r="M62">
            <v>6427063.5300000003</v>
          </cell>
        </row>
        <row r="63">
          <cell r="G63">
            <v>403302.3</v>
          </cell>
          <cell r="I63">
            <v>-1.2999999999999999E-3</v>
          </cell>
          <cell r="M63">
            <v>204831368.47</v>
          </cell>
        </row>
        <row r="64">
          <cell r="G64">
            <v>888344.92</v>
          </cell>
          <cell r="I64">
            <v>6.0000000000000001E-3</v>
          </cell>
          <cell r="M64">
            <v>221807385.30000001</v>
          </cell>
        </row>
        <row r="66">
          <cell r="G66">
            <v>4999900</v>
          </cell>
          <cell r="I66">
            <v>3.09E-2</v>
          </cell>
          <cell r="M66">
            <v>234883607.43000001</v>
          </cell>
        </row>
        <row r="67">
          <cell r="G67">
            <v>8786825.5299999993</v>
          </cell>
          <cell r="I67">
            <v>-1.2999999999999999E-2</v>
          </cell>
          <cell r="M67">
            <v>139961308.88999999</v>
          </cell>
        </row>
        <row r="69">
          <cell r="G69">
            <v>1884.73</v>
          </cell>
          <cell r="I69">
            <v>0</v>
          </cell>
        </row>
        <row r="70">
          <cell r="G70">
            <v>2010.25</v>
          </cell>
          <cell r="I70">
            <v>0</v>
          </cell>
        </row>
        <row r="71">
          <cell r="G71">
            <v>766292731.41000009</v>
          </cell>
        </row>
        <row r="72">
          <cell r="B72" t="str">
            <v>Meta Atuarial(INPC 1,43 + 0,486755)</v>
          </cell>
          <cell r="E72">
            <v>1.9199999999999998E-2</v>
          </cell>
          <cell r="H72">
            <v>-5.1999999999999998E-2</v>
          </cell>
          <cell r="K72">
            <v>-4.0099999999999997E-2</v>
          </cell>
          <cell r="N72">
            <v>4.4200000000000001E-4</v>
          </cell>
        </row>
        <row r="73">
          <cell r="H73">
            <v>-5.1999999999999998E-2</v>
          </cell>
          <cell r="K73">
            <v>-3.2009999999999999E-3</v>
          </cell>
          <cell r="N73">
            <v>5.45E-3</v>
          </cell>
        </row>
        <row r="74">
          <cell r="E74">
            <v>1.43E-2</v>
          </cell>
          <cell r="H74">
            <v>-5.2999999999999999E-2</v>
          </cell>
          <cell r="K74">
            <v>1.199E-3</v>
          </cell>
          <cell r="N74">
            <v>-1.4630000000000001E-3</v>
          </cell>
        </row>
        <row r="75">
          <cell r="E75">
            <v>5.1999999999999998E-3</v>
          </cell>
          <cell r="H75">
            <v>-3.6600000000000001E-2</v>
          </cell>
          <cell r="K75">
            <v>4.4970000000000001E-3</v>
          </cell>
          <cell r="N75">
            <v>6.8910000000000004E-3</v>
          </cell>
        </row>
        <row r="76">
          <cell r="E76">
            <v>1.26E-2</v>
          </cell>
          <cell r="H76">
            <v>-4.3299999999999998E-2</v>
          </cell>
          <cell r="K76">
            <v>-1.0784999999999999E-2</v>
          </cell>
          <cell r="N76">
            <v>5.208E-3</v>
          </cell>
        </row>
      </sheetData>
      <sheetData sheetId="7">
        <row r="5">
          <cell r="G5">
            <v>25877016</v>
          </cell>
          <cell r="I5">
            <v>6.7999999999999996E-3</v>
          </cell>
        </row>
        <row r="6">
          <cell r="G6">
            <v>11351297.24</v>
          </cell>
          <cell r="I6">
            <v>1.7399999999999999E-2</v>
          </cell>
        </row>
        <row r="7">
          <cell r="G7">
            <v>24771311.079999998</v>
          </cell>
          <cell r="I7">
            <v>2.12E-2</v>
          </cell>
          <cell r="L7">
            <v>2.0960999999999999</v>
          </cell>
        </row>
        <row r="8">
          <cell r="G8">
            <v>27851378.68</v>
          </cell>
          <cell r="I8">
            <v>2.7E-2</v>
          </cell>
        </row>
        <row r="9">
          <cell r="G9">
            <v>42596226.229999997</v>
          </cell>
          <cell r="I9">
            <v>1.4E-3</v>
          </cell>
        </row>
        <row r="10">
          <cell r="G10">
            <v>11304383.109999999</v>
          </cell>
          <cell r="I10">
            <v>2.7E-2</v>
          </cell>
        </row>
        <row r="11">
          <cell r="G11">
            <v>19659796.719999999</v>
          </cell>
          <cell r="I11">
            <v>2.7E-2</v>
          </cell>
        </row>
        <row r="13">
          <cell r="G13">
            <v>69724667.969999999</v>
          </cell>
          <cell r="I13">
            <v>1.46E-2</v>
          </cell>
          <cell r="M13">
            <v>1191348011.53</v>
          </cell>
        </row>
        <row r="14">
          <cell r="G14">
            <v>25036011.190000001</v>
          </cell>
          <cell r="I14">
            <v>1.4999999999999999E-2</v>
          </cell>
          <cell r="M14">
            <v>1927127997.78</v>
          </cell>
        </row>
        <row r="15">
          <cell r="G15">
            <v>19963198.149999999</v>
          </cell>
          <cell r="I15">
            <v>1.4831E-2</v>
          </cell>
          <cell r="M15">
            <v>5447124355.3299999</v>
          </cell>
        </row>
        <row r="16">
          <cell r="G16">
            <v>22980661.350000001</v>
          </cell>
          <cell r="I16">
            <v>1.4585000000000001E-2</v>
          </cell>
        </row>
        <row r="17">
          <cell r="G17">
            <v>12492531.26</v>
          </cell>
          <cell r="I17">
            <v>2.3699999999999999E-2</v>
          </cell>
          <cell r="M17">
            <v>265516607.53</v>
          </cell>
        </row>
        <row r="18">
          <cell r="G18">
            <v>53840104.490000002</v>
          </cell>
          <cell r="I18">
            <v>1.4619E-2</v>
          </cell>
          <cell r="M18">
            <v>7322766489.3900003</v>
          </cell>
        </row>
        <row r="19">
          <cell r="G19">
            <v>62859333.060000002</v>
          </cell>
          <cell r="I19">
            <v>1.5878E-2</v>
          </cell>
          <cell r="M19">
            <v>2432051278.1199999</v>
          </cell>
        </row>
        <row r="20">
          <cell r="G20">
            <v>7061718.4000000004</v>
          </cell>
          <cell r="I20">
            <v>1.44E-2</v>
          </cell>
          <cell r="M20">
            <v>1264845506.3800001</v>
          </cell>
        </row>
        <row r="26">
          <cell r="G26">
            <v>618565.89</v>
          </cell>
          <cell r="I26">
            <v>4.5999999999999999E-3</v>
          </cell>
          <cell r="M26">
            <v>8257738766.0600004</v>
          </cell>
        </row>
        <row r="27">
          <cell r="G27">
            <v>239306.58</v>
          </cell>
          <cell r="I27">
            <v>5.3E-3</v>
          </cell>
          <cell r="M27">
            <v>6791040417.9399996</v>
          </cell>
        </row>
        <row r="28">
          <cell r="G28">
            <v>52323368.68</v>
          </cell>
          <cell r="I28">
            <v>2.3726000000000001E-2</v>
          </cell>
          <cell r="M28">
            <v>996875803.38</v>
          </cell>
        </row>
        <row r="29">
          <cell r="G29">
            <v>16329160.060000001</v>
          </cell>
          <cell r="I29">
            <v>5.7000000000000002E-3</v>
          </cell>
          <cell r="M29">
            <v>207341637.59999999</v>
          </cell>
        </row>
        <row r="30">
          <cell r="G30">
            <v>0</v>
          </cell>
          <cell r="I30">
            <v>0</v>
          </cell>
          <cell r="M30">
            <v>10845925063.57</v>
          </cell>
        </row>
        <row r="31">
          <cell r="G31">
            <v>27094470.010000002</v>
          </cell>
          <cell r="I31">
            <v>5.7000000000000002E-3</v>
          </cell>
          <cell r="M31">
            <v>1394012894.54</v>
          </cell>
        </row>
        <row r="32">
          <cell r="G32">
            <v>47617076.079999998</v>
          </cell>
          <cell r="I32">
            <v>2.3400000000000001E-2</v>
          </cell>
          <cell r="M32">
            <v>1232430690.1099999</v>
          </cell>
        </row>
        <row r="33">
          <cell r="G33">
            <v>27974005.460000001</v>
          </cell>
          <cell r="I33">
            <v>1.4999999999999999E-2</v>
          </cell>
          <cell r="M33">
            <v>541139680.02999997</v>
          </cell>
        </row>
        <row r="34">
          <cell r="G34">
            <v>7645136.8300000001</v>
          </cell>
          <cell r="I34">
            <v>5.3E-3</v>
          </cell>
          <cell r="M34">
            <v>9197790011.4300003</v>
          </cell>
        </row>
        <row r="40">
          <cell r="G40">
            <v>7185505.3899999997</v>
          </cell>
          <cell r="I40">
            <v>6.4000000000000003E-3</v>
          </cell>
          <cell r="M40">
            <v>561811070.22000003</v>
          </cell>
        </row>
        <row r="41">
          <cell r="G41">
            <v>35398.03</v>
          </cell>
          <cell r="I41">
            <v>-5.7799999999999997E-2</v>
          </cell>
          <cell r="M41">
            <v>825955.52</v>
          </cell>
        </row>
        <row r="42">
          <cell r="G42">
            <v>40108.9</v>
          </cell>
          <cell r="I42">
            <v>-4.24E-2</v>
          </cell>
          <cell r="M42">
            <v>2293510.33</v>
          </cell>
        </row>
        <row r="46">
          <cell r="G46">
            <v>36744289.950000003</v>
          </cell>
          <cell r="I46">
            <v>7.0999999999999994E-2</v>
          </cell>
          <cell r="M46">
            <v>721542576.35000002</v>
          </cell>
        </row>
        <row r="47">
          <cell r="G47">
            <v>22954740.199999999</v>
          </cell>
          <cell r="I47">
            <v>1.7100000000000001E-2</v>
          </cell>
          <cell r="M47">
            <v>367763007.69</v>
          </cell>
        </row>
        <row r="49">
          <cell r="G49">
            <v>0</v>
          </cell>
          <cell r="I49">
            <v>0</v>
          </cell>
          <cell r="M49">
            <v>0</v>
          </cell>
        </row>
        <row r="51">
          <cell r="G51">
            <v>9328025.0399999991</v>
          </cell>
          <cell r="I51">
            <v>7.9500000000000001E-2</v>
          </cell>
          <cell r="M51">
            <v>210313583.22999999</v>
          </cell>
        </row>
        <row r="52">
          <cell r="G52">
            <v>6360412.2300000004</v>
          </cell>
          <cell r="I52">
            <v>6.2300000000000001E-2</v>
          </cell>
          <cell r="M52">
            <v>833064712.66999996</v>
          </cell>
        </row>
        <row r="53">
          <cell r="G53">
            <v>22560688.949999999</v>
          </cell>
          <cell r="I53">
            <v>6.5799999999999997E-2</v>
          </cell>
          <cell r="M53">
            <v>223499749.59</v>
          </cell>
        </row>
        <row r="54">
          <cell r="G54">
            <v>19966932.48</v>
          </cell>
          <cell r="I54">
            <v>1.9599999999999999E-2</v>
          </cell>
          <cell r="M54">
            <v>610160821.70000005</v>
          </cell>
        </row>
        <row r="55">
          <cell r="G55">
            <v>2698216.91</v>
          </cell>
          <cell r="I55">
            <v>7.3899999999999993E-2</v>
          </cell>
          <cell r="M55">
            <v>531813980.95999998</v>
          </cell>
        </row>
        <row r="56">
          <cell r="G56">
            <v>6431602.0499999998</v>
          </cell>
          <cell r="I56">
            <v>4.9200000000000001E-2</v>
          </cell>
          <cell r="M56">
            <v>396763645.16000003</v>
          </cell>
        </row>
        <row r="59">
          <cell r="G59">
            <v>3637931.19</v>
          </cell>
          <cell r="I59">
            <v>3.85E-2</v>
          </cell>
          <cell r="M59">
            <v>1054214856.05</v>
          </cell>
        </row>
        <row r="60">
          <cell r="G60">
            <v>0</v>
          </cell>
          <cell r="I60">
            <v>0</v>
          </cell>
          <cell r="M60">
            <v>0</v>
          </cell>
        </row>
        <row r="62">
          <cell r="G62">
            <v>14025497.640000001</v>
          </cell>
          <cell r="I62">
            <v>-5.9999999999999995E-4</v>
          </cell>
          <cell r="M62">
            <v>99523165.969999999</v>
          </cell>
        </row>
        <row r="63">
          <cell r="G63">
            <v>144668.69</v>
          </cell>
          <cell r="I63">
            <v>-0.1024</v>
          </cell>
          <cell r="M63">
            <v>5768663.8200000003</v>
          </cell>
        </row>
        <row r="64">
          <cell r="G64">
            <v>402707.48</v>
          </cell>
          <cell r="I64">
            <v>-1.5E-3</v>
          </cell>
          <cell r="M64">
            <v>201005537.55000001</v>
          </cell>
        </row>
        <row r="65">
          <cell r="G65">
            <v>1271720.0900000001</v>
          </cell>
          <cell r="I65">
            <v>0.43159999999999998</v>
          </cell>
          <cell r="M65">
            <v>232259984.24000001</v>
          </cell>
        </row>
        <row r="67">
          <cell r="G67">
            <v>4150000</v>
          </cell>
          <cell r="I67">
            <v>-0.17</v>
          </cell>
          <cell r="M67">
            <v>234208431.75</v>
          </cell>
        </row>
        <row r="68">
          <cell r="G68">
            <v>9190494.9499999993</v>
          </cell>
          <cell r="I68">
            <v>4.5900000000000003E-2</v>
          </cell>
          <cell r="M68">
            <v>140464366.86000001</v>
          </cell>
        </row>
        <row r="70">
          <cell r="G70">
            <v>3452.11</v>
          </cell>
          <cell r="I70">
            <v>0</v>
          </cell>
        </row>
        <row r="71">
          <cell r="G71">
            <v>1257.17</v>
          </cell>
          <cell r="I71">
            <v>0</v>
          </cell>
        </row>
        <row r="72">
          <cell r="G72">
            <v>784344373.97000003</v>
          </cell>
        </row>
        <row r="73">
          <cell r="B73" t="str">
            <v>Meta Atuarial(INPC 0,25 + 0,486755)</v>
          </cell>
          <cell r="E73">
            <v>7.6E-3</v>
          </cell>
          <cell r="H73">
            <v>8.8800000000000004E-2</v>
          </cell>
          <cell r="K73">
            <v>1.37E-2</v>
          </cell>
          <cell r="N73">
            <v>1.4744E-2</v>
          </cell>
        </row>
        <row r="74">
          <cell r="H74">
            <v>8.8400000000000006E-2</v>
          </cell>
          <cell r="K74">
            <v>2.3153E-2</v>
          </cell>
          <cell r="N74">
            <v>6.6020000000000002E-3</v>
          </cell>
        </row>
        <row r="75">
          <cell r="E75">
            <v>2.5000000000000001E-3</v>
          </cell>
          <cell r="H75">
            <v>8.9200000000000002E-2</v>
          </cell>
          <cell r="K75">
            <v>1.4142999999999999E-2</v>
          </cell>
          <cell r="N75">
            <v>1.7947999999999999E-2</v>
          </cell>
        </row>
        <row r="76">
          <cell r="E76">
            <v>5.4000000000000003E-3</v>
          </cell>
          <cell r="H76">
            <v>5.0900000000000001E-2</v>
          </cell>
          <cell r="K76">
            <v>1.4765E-2</v>
          </cell>
          <cell r="N76">
            <v>2.2756999999999999E-2</v>
          </cell>
        </row>
        <row r="77">
          <cell r="E77">
            <v>3.3E-3</v>
          </cell>
          <cell r="H77">
            <v>7.2700000000000001E-2</v>
          </cell>
          <cell r="K77">
            <v>3.1461999999999997E-2</v>
          </cell>
          <cell r="N77">
            <v>5.4429999999999999E-3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"/>
      <sheetName val="FFPREV Janeiro 2018"/>
      <sheetName val="FFPREV Fevereiro 2018"/>
      <sheetName val="FFPREV Março 2018"/>
      <sheetName val="FFPREV Abril 2018"/>
      <sheetName val="FFPREV Maio 2018"/>
      <sheetName val="FFPREV Junho 2018"/>
      <sheetName val="FFPREV Julho 2018"/>
    </sheetNames>
    <sheetDataSet>
      <sheetData sheetId="0"/>
      <sheetData sheetId="1">
        <row r="5">
          <cell r="G5">
            <v>12875248.58</v>
          </cell>
          <cell r="I5">
            <v>8.0999999999999996E-3</v>
          </cell>
        </row>
        <row r="6">
          <cell r="G6">
            <v>6577491.8399999999</v>
          </cell>
          <cell r="I6">
            <v>2.1999999999999999E-2</v>
          </cell>
        </row>
        <row r="7">
          <cell r="G7">
            <v>11623698.9</v>
          </cell>
          <cell r="I7">
            <v>3.7499999999999999E-2</v>
          </cell>
        </row>
        <row r="8">
          <cell r="G8">
            <v>11036055</v>
          </cell>
          <cell r="I8">
            <v>5.1700000000000003E-2</v>
          </cell>
        </row>
        <row r="10">
          <cell r="G10">
            <v>17532472.039999999</v>
          </cell>
          <cell r="I10">
            <v>1.2869999999999999E-2</v>
          </cell>
          <cell r="M10">
            <v>4729358053.6199999</v>
          </cell>
        </row>
        <row r="11">
          <cell r="G11">
            <v>19653487.77</v>
          </cell>
          <cell r="I11">
            <v>1.3122E-2</v>
          </cell>
          <cell r="M11">
            <v>2196083459.8899999</v>
          </cell>
        </row>
        <row r="12">
          <cell r="G12">
            <v>50959803.170000002</v>
          </cell>
          <cell r="I12">
            <v>1.3703E-2</v>
          </cell>
          <cell r="M12">
            <v>2759142861.0300002</v>
          </cell>
        </row>
        <row r="13">
          <cell r="G13">
            <v>41791770.380000003</v>
          </cell>
          <cell r="I13">
            <v>1.3073E-2</v>
          </cell>
          <cell r="M13">
            <v>6740982774.0600004</v>
          </cell>
        </row>
        <row r="19">
          <cell r="G19">
            <v>37070.94</v>
          </cell>
          <cell r="I19">
            <v>5.3E-3</v>
          </cell>
        </row>
        <row r="20">
          <cell r="G20">
            <v>8633146.1400000006</v>
          </cell>
          <cell r="I20">
            <v>5.7000000000000002E-3</v>
          </cell>
          <cell r="M20">
            <v>279603229.01999998</v>
          </cell>
        </row>
        <row r="21">
          <cell r="G21">
            <v>21406257.32</v>
          </cell>
          <cell r="I21">
            <v>3.3029000000000003E-2</v>
          </cell>
          <cell r="M21">
            <v>2539443158.4000001</v>
          </cell>
        </row>
        <row r="22">
          <cell r="M22">
            <v>1473930062</v>
          </cell>
        </row>
        <row r="23">
          <cell r="G23">
            <v>1061034.25</v>
          </cell>
          <cell r="I23">
            <v>5.7000000000000002E-3</v>
          </cell>
          <cell r="M23">
            <v>10907536241.889999</v>
          </cell>
        </row>
        <row r="34">
          <cell r="G34">
            <v>7199602.6399999997</v>
          </cell>
          <cell r="I34">
            <v>9.2200000000000004E-2</v>
          </cell>
          <cell r="M34">
            <v>493662489.12</v>
          </cell>
        </row>
        <row r="35">
          <cell r="G35">
            <v>3947319.62</v>
          </cell>
          <cell r="I35">
            <v>0.13789999999999999</v>
          </cell>
          <cell r="M35">
            <v>236114205.46000001</v>
          </cell>
        </row>
        <row r="36">
          <cell r="G36">
            <v>4528020.24</v>
          </cell>
          <cell r="I36">
            <v>5.4800000000000001E-2</v>
          </cell>
        </row>
        <row r="39">
          <cell r="G39">
            <v>3526016.27</v>
          </cell>
          <cell r="I39">
            <v>5.3831999999999998E-2</v>
          </cell>
          <cell r="M39">
            <v>1364986237.1800001</v>
          </cell>
        </row>
        <row r="40">
          <cell r="G40">
            <v>3199083.6</v>
          </cell>
          <cell r="I40">
            <v>-1.9E-3</v>
          </cell>
          <cell r="M40">
            <v>34646077.68</v>
          </cell>
        </row>
        <row r="45">
          <cell r="G45">
            <v>10000</v>
          </cell>
          <cell r="I45">
            <v>0</v>
          </cell>
        </row>
        <row r="46">
          <cell r="G46">
            <v>234020168.92000002</v>
          </cell>
        </row>
      </sheetData>
      <sheetData sheetId="2">
        <row r="5">
          <cell r="G5">
            <v>12920965.51</v>
          </cell>
          <cell r="I5">
            <v>3.5999999999999999E-3</v>
          </cell>
        </row>
        <row r="6">
          <cell r="G6">
            <v>6615656.1299999999</v>
          </cell>
          <cell r="I6">
            <v>5.7999999999999996E-3</v>
          </cell>
        </row>
        <row r="7">
          <cell r="G7">
            <v>11319486.789999999</v>
          </cell>
          <cell r="I7">
            <v>-2.6100000000000002E-2</v>
          </cell>
        </row>
        <row r="8">
          <cell r="G8">
            <v>11052195.76</v>
          </cell>
          <cell r="I8">
            <v>1.4E-3</v>
          </cell>
        </row>
        <row r="10">
          <cell r="G10">
            <v>5011371.2699999996</v>
          </cell>
          <cell r="I10">
            <v>5.1999999999999998E-3</v>
          </cell>
          <cell r="M10">
            <v>1327754160.5799999</v>
          </cell>
        </row>
        <row r="11">
          <cell r="G11">
            <v>17725853.77</v>
          </cell>
          <cell r="I11">
            <v>1.1029000000000001E-2</v>
          </cell>
          <cell r="M11">
            <v>5033878676.0100002</v>
          </cell>
        </row>
        <row r="12">
          <cell r="G12">
            <v>19755709.539999999</v>
          </cell>
          <cell r="I12">
            <v>5.2009999999999999E-3</v>
          </cell>
          <cell r="M12">
            <v>2178485001.4400001</v>
          </cell>
        </row>
        <row r="13">
          <cell r="G13">
            <v>51555735.890000001</v>
          </cell>
          <cell r="I13">
            <v>1.1694E-2</v>
          </cell>
          <cell r="M13">
            <v>2813285709.3299999</v>
          </cell>
        </row>
        <row r="14">
          <cell r="G14">
            <v>42014008.590000004</v>
          </cell>
          <cell r="I14">
            <v>5.3179999999999998E-3</v>
          </cell>
          <cell r="M14">
            <v>6991874867.3299999</v>
          </cell>
        </row>
        <row r="20">
          <cell r="G20">
            <v>23849.18</v>
          </cell>
          <cell r="I20">
            <v>4.5999999999999999E-3</v>
          </cell>
          <cell r="M20">
            <v>6893035004.8800001</v>
          </cell>
        </row>
        <row r="21">
          <cell r="G21">
            <v>8633146.1400000006</v>
          </cell>
          <cell r="I21">
            <v>5.7000000000000002E-3</v>
          </cell>
          <cell r="M21">
            <v>445176324.69</v>
          </cell>
        </row>
        <row r="22">
          <cell r="G22">
            <v>21533342.77</v>
          </cell>
          <cell r="I22">
            <v>5.9369999999999996E-3</v>
          </cell>
          <cell r="M22">
            <v>2552268155.29</v>
          </cell>
        </row>
        <row r="23">
          <cell r="G23">
            <v>8484543.2100000009</v>
          </cell>
          <cell r="M23">
            <v>1494460540</v>
          </cell>
        </row>
        <row r="24">
          <cell r="G24">
            <v>1065832.96</v>
          </cell>
          <cell r="I24">
            <v>4.4999999999999997E-3</v>
          </cell>
          <cell r="M24">
            <v>10845052436</v>
          </cell>
        </row>
        <row r="35">
          <cell r="G35">
            <v>7306582.2800000003</v>
          </cell>
          <cell r="I35">
            <v>1.49E-2</v>
          </cell>
          <cell r="M35">
            <v>534648785.19999999</v>
          </cell>
        </row>
        <row r="36">
          <cell r="G36">
            <v>4025416.99</v>
          </cell>
          <cell r="I36">
            <v>1.9800000000000002E-2</v>
          </cell>
          <cell r="M36">
            <v>284993022.16000003</v>
          </cell>
        </row>
        <row r="37">
          <cell r="G37">
            <v>4495668.9000000004</v>
          </cell>
          <cell r="I37">
            <v>-7.1000000000000004E-3</v>
          </cell>
        </row>
        <row r="40">
          <cell r="G40">
            <v>3410096.59</v>
          </cell>
          <cell r="I40">
            <v>-3.2876000000000002E-2</v>
          </cell>
          <cell r="M40">
            <v>1303016652.3299999</v>
          </cell>
        </row>
        <row r="41">
          <cell r="G41">
            <v>3210646.5</v>
          </cell>
          <cell r="I41">
            <v>3.5999999999999999E-3</v>
          </cell>
          <cell r="M41">
            <v>34771302.880000003</v>
          </cell>
        </row>
        <row r="46">
          <cell r="G46">
            <v>7935.52</v>
          </cell>
          <cell r="I46">
            <v>0</v>
          </cell>
        </row>
        <row r="47">
          <cell r="G47">
            <v>240168044.28999999</v>
          </cell>
        </row>
      </sheetData>
      <sheetData sheetId="3">
        <row r="5">
          <cell r="G5">
            <v>13053142.279999999</v>
          </cell>
          <cell r="I5">
            <v>1.0200000000000001E-2</v>
          </cell>
        </row>
        <row r="6">
          <cell r="G6">
            <v>6749920.9199999999</v>
          </cell>
          <cell r="I6">
            <v>2.0199999999999999E-2</v>
          </cell>
        </row>
        <row r="7">
          <cell r="G7">
            <v>11507873.880000001</v>
          </cell>
          <cell r="I7">
            <v>1.66E-2</v>
          </cell>
        </row>
        <row r="8">
          <cell r="G8">
            <v>11108705.58</v>
          </cell>
          <cell r="I8">
            <v>5.1000000000000004E-3</v>
          </cell>
        </row>
        <row r="10">
          <cell r="G10">
            <v>9756783.5</v>
          </cell>
          <cell r="I10">
            <v>1.6E-2</v>
          </cell>
          <cell r="M10">
            <v>1290858853.55</v>
          </cell>
        </row>
        <row r="11">
          <cell r="G11">
            <v>17956501.23</v>
          </cell>
          <cell r="I11">
            <v>1.3011E-2</v>
          </cell>
          <cell r="M11">
            <v>5461875715.0200005</v>
          </cell>
        </row>
        <row r="12">
          <cell r="G12">
            <v>20072259.629999999</v>
          </cell>
          <cell r="I12">
            <v>1.6022999999999999E-2</v>
          </cell>
          <cell r="M12">
            <v>2226807779.79</v>
          </cell>
        </row>
        <row r="13">
          <cell r="G13">
            <v>52224980.469999999</v>
          </cell>
          <cell r="I13">
            <v>1.2980999999999999E-2</v>
          </cell>
          <cell r="M13">
            <v>3396431132.1100001</v>
          </cell>
        </row>
        <row r="14">
          <cell r="G14">
            <v>42686055.93</v>
          </cell>
          <cell r="I14">
            <v>1.5996E-2</v>
          </cell>
          <cell r="M14">
            <v>7642122550.6899996</v>
          </cell>
        </row>
        <row r="20">
          <cell r="G20">
            <v>11997.4</v>
          </cell>
          <cell r="I20">
            <v>5.3E-3</v>
          </cell>
          <cell r="M20">
            <v>6997570434.0200005</v>
          </cell>
        </row>
        <row r="21">
          <cell r="G21">
            <v>8775684.8300000001</v>
          </cell>
          <cell r="I21">
            <v>1.6500000000000001E-2</v>
          </cell>
          <cell r="M21">
            <v>495849711.75999999</v>
          </cell>
        </row>
        <row r="22">
          <cell r="G22">
            <v>21729232.690000001</v>
          </cell>
          <cell r="I22">
            <v>9.0969999999999992E-3</v>
          </cell>
          <cell r="M22">
            <v>2532522078.1799998</v>
          </cell>
        </row>
        <row r="23">
          <cell r="G23">
            <v>8571745.8699999992</v>
          </cell>
          <cell r="M23">
            <v>1526063252.26</v>
          </cell>
        </row>
        <row r="24">
          <cell r="G24">
            <v>1071372.8600000001</v>
          </cell>
          <cell r="I24">
            <v>5.1999999999999998E-3</v>
          </cell>
          <cell r="M24">
            <v>9610867395.25</v>
          </cell>
        </row>
        <row r="35">
          <cell r="G35">
            <v>7526100.6200000001</v>
          </cell>
          <cell r="I35">
            <v>0.03</v>
          </cell>
          <cell r="M35">
            <v>588053816.77999997</v>
          </cell>
        </row>
        <row r="36">
          <cell r="G36">
            <v>4077175.15</v>
          </cell>
          <cell r="I36">
            <v>1.29E-2</v>
          </cell>
          <cell r="M36">
            <v>338055223.95999998</v>
          </cell>
        </row>
        <row r="37">
          <cell r="G37">
            <v>4557612.24</v>
          </cell>
          <cell r="I37">
            <v>1.38E-2</v>
          </cell>
          <cell r="M37">
            <v>344077075.33999997</v>
          </cell>
        </row>
        <row r="40">
          <cell r="G40">
            <v>3315764.25</v>
          </cell>
          <cell r="I40">
            <v>-2.7663E-2</v>
          </cell>
          <cell r="M40">
            <v>1200877159.3299999</v>
          </cell>
        </row>
        <row r="41">
          <cell r="G41">
            <v>3214881</v>
          </cell>
          <cell r="I41">
            <v>1.2999999999999999E-3</v>
          </cell>
          <cell r="M41">
            <v>34817161.630000003</v>
          </cell>
        </row>
        <row r="46">
          <cell r="G46">
            <v>7369.33</v>
          </cell>
          <cell r="I46">
            <v>0</v>
          </cell>
        </row>
        <row r="47">
          <cell r="G47">
            <v>247975159.66</v>
          </cell>
        </row>
      </sheetData>
      <sheetData sheetId="4">
        <row r="5">
          <cell r="G5">
            <v>13107153.73</v>
          </cell>
          <cell r="I5">
            <v>4.1000000000000003E-3</v>
          </cell>
        </row>
        <row r="6">
          <cell r="G6">
            <v>6748831.1299999999</v>
          </cell>
          <cell r="I6">
            <v>-2.0000000000000001E-4</v>
          </cell>
        </row>
        <row r="7">
          <cell r="G7">
            <v>11492139.18</v>
          </cell>
          <cell r="I7">
            <v>-1.4E-3</v>
          </cell>
        </row>
        <row r="8">
          <cell r="G8">
            <v>11041499.4</v>
          </cell>
          <cell r="I8">
            <v>-6.0000000000000001E-3</v>
          </cell>
        </row>
        <row r="10">
          <cell r="G10">
            <v>14553181.74</v>
          </cell>
          <cell r="I10">
            <v>4.0000000000000001E-3</v>
          </cell>
          <cell r="M10">
            <v>1304781541.54</v>
          </cell>
        </row>
        <row r="11">
          <cell r="G11">
            <v>10059819.24</v>
          </cell>
          <cell r="I11">
            <v>6.0000000000000001E-3</v>
          </cell>
          <cell r="M11">
            <v>3392469637.4099998</v>
          </cell>
        </row>
        <row r="12">
          <cell r="G12">
            <v>18033291.629999999</v>
          </cell>
          <cell r="I12">
            <v>4.2760000000000003E-3</v>
          </cell>
          <cell r="M12">
            <v>6009699793.3500004</v>
          </cell>
        </row>
        <row r="13">
          <cell r="G13">
            <v>42352453.149999999</v>
          </cell>
          <cell r="I13">
            <v>3.5560000000000001E-3</v>
          </cell>
          <cell r="M13">
            <v>3808020951.6799998</v>
          </cell>
        </row>
        <row r="14">
          <cell r="G14">
            <v>42883934.079999998</v>
          </cell>
          <cell r="I14">
            <v>4.0530000000000002E-3</v>
          </cell>
          <cell r="M14">
            <v>7947962119.2799997</v>
          </cell>
        </row>
        <row r="18">
          <cell r="G18">
            <v>20153504</v>
          </cell>
          <cell r="I18">
            <v>4.0470000000000002E-3</v>
          </cell>
          <cell r="M18">
            <v>2311189701.0300002</v>
          </cell>
        </row>
        <row r="19">
          <cell r="G19">
            <v>21700242.870000001</v>
          </cell>
          <cell r="I19">
            <v>-1.3339999999999999E-3</v>
          </cell>
          <cell r="M19">
            <v>2191988538.3600001</v>
          </cell>
        </row>
        <row r="20">
          <cell r="G20">
            <v>8809654.5999999996</v>
          </cell>
          <cell r="I20">
            <v>3.8999999999999998E-3</v>
          </cell>
          <cell r="M20">
            <v>563080501.40999997</v>
          </cell>
        </row>
        <row r="23">
          <cell r="G23">
            <v>5094.4799999999996</v>
          </cell>
          <cell r="I23">
            <v>5.1000000000000004E-3</v>
          </cell>
          <cell r="M23">
            <v>6915756068.6400003</v>
          </cell>
        </row>
        <row r="24">
          <cell r="G24">
            <v>8599665.9600000009</v>
          </cell>
          <cell r="M24">
            <v>1496208831.23</v>
          </cell>
        </row>
        <row r="25">
          <cell r="G25">
            <v>1076788.0900000001</v>
          </cell>
          <cell r="I25">
            <v>5.1000000000000004E-3</v>
          </cell>
          <cell r="M25">
            <v>10198016708.379999</v>
          </cell>
        </row>
        <row r="36">
          <cell r="G36">
            <v>7606344.9199999999</v>
          </cell>
          <cell r="I36">
            <v>1.0699999999999999E-2</v>
          </cell>
          <cell r="M36">
            <v>628177198.98000002</v>
          </cell>
        </row>
        <row r="37">
          <cell r="G37">
            <v>4155550.83</v>
          </cell>
          <cell r="I37">
            <v>1.9199999999999998E-2</v>
          </cell>
          <cell r="M37">
            <v>398949719.52999997</v>
          </cell>
        </row>
        <row r="38">
          <cell r="G38">
            <v>4666879.1500000004</v>
          </cell>
          <cell r="I38">
            <v>2.4E-2</v>
          </cell>
          <cell r="M38">
            <v>348191466.97000003</v>
          </cell>
        </row>
        <row r="41">
          <cell r="G41">
            <v>3335300.16</v>
          </cell>
          <cell r="I41">
            <v>5.8999999999999999E-3</v>
          </cell>
          <cell r="M41">
            <v>1093531923.9400001</v>
          </cell>
        </row>
        <row r="42">
          <cell r="G42">
            <v>3195812.1</v>
          </cell>
          <cell r="I42">
            <v>-5.8999999999999999E-3</v>
          </cell>
          <cell r="M42">
            <v>34610648.189999998</v>
          </cell>
        </row>
        <row r="47">
          <cell r="G47">
            <v>8219.69</v>
          </cell>
          <cell r="I47">
            <v>0</v>
          </cell>
        </row>
        <row r="48">
          <cell r="G48">
            <v>253585360.12999997</v>
          </cell>
        </row>
      </sheetData>
      <sheetData sheetId="5">
        <row r="5">
          <cell r="G5">
            <v>12745906.01</v>
          </cell>
          <cell r="I5">
            <v>4.1000000000000003E-3</v>
          </cell>
        </row>
        <row r="6">
          <cell r="G6">
            <v>6360271.25</v>
          </cell>
          <cell r="I6">
            <v>-2.0000000000000001E-4</v>
          </cell>
        </row>
        <row r="7">
          <cell r="G7">
            <v>11057246.029999999</v>
          </cell>
          <cell r="I7">
            <v>-1.4E-3</v>
          </cell>
        </row>
        <row r="8">
          <cell r="G8">
            <v>10291897.640000001</v>
          </cell>
          <cell r="I8">
            <v>-6.0000000000000001E-3</v>
          </cell>
        </row>
        <row r="10">
          <cell r="G10">
            <v>14801055.289999999</v>
          </cell>
          <cell r="I10">
            <v>-1.5800000000000002E-2</v>
          </cell>
          <cell r="M10">
            <v>1277276763.3299999</v>
          </cell>
        </row>
        <row r="11">
          <cell r="G11">
            <v>9868115.0700000003</v>
          </cell>
          <cell r="I11">
            <v>-1.9099999999999999E-2</v>
          </cell>
          <cell r="M11">
            <v>3054612016.3800001</v>
          </cell>
        </row>
        <row r="12">
          <cell r="G12">
            <v>17698441.809999999</v>
          </cell>
          <cell r="I12">
            <v>-1.8568000000000001E-2</v>
          </cell>
          <cell r="M12">
            <v>5820256953.7399998</v>
          </cell>
        </row>
        <row r="13">
          <cell r="G13">
            <v>41542012.280000001</v>
          </cell>
          <cell r="I13">
            <v>-1.9134999999999999E-2</v>
          </cell>
          <cell r="M13">
            <v>2993117129.6599998</v>
          </cell>
        </row>
        <row r="14">
          <cell r="G14">
            <v>42203347.939999998</v>
          </cell>
          <cell r="I14">
            <v>-1.5869999999999999E-2</v>
          </cell>
          <cell r="M14">
            <v>7970993081.7200003</v>
          </cell>
        </row>
        <row r="15">
          <cell r="G15">
            <v>4678062.79</v>
          </cell>
          <cell r="I15">
            <v>-1.5599999999999999E-2</v>
          </cell>
          <cell r="M15">
            <v>249502279.08000001</v>
          </cell>
        </row>
        <row r="19">
          <cell r="G19">
            <v>19837788.559999999</v>
          </cell>
          <cell r="I19">
            <v>-1.5664999999999998E-2</v>
          </cell>
          <cell r="M19">
            <v>2288647358.1100001</v>
          </cell>
        </row>
        <row r="20">
          <cell r="G20">
            <v>21034079.59</v>
          </cell>
          <cell r="I20">
            <v>-3.0698E-2</v>
          </cell>
          <cell r="M20">
            <v>2073916235.3800001</v>
          </cell>
        </row>
        <row r="21">
          <cell r="G21">
            <v>8658402.9100000001</v>
          </cell>
          <cell r="I21">
            <v>-1.72E-2</v>
          </cell>
          <cell r="M21">
            <v>559136229.24000001</v>
          </cell>
        </row>
        <row r="24">
          <cell r="G24">
            <v>40617.760000000002</v>
          </cell>
          <cell r="I24">
            <v>5.0000000000000001E-3</v>
          </cell>
          <cell r="M24">
            <v>6823037381.7600002</v>
          </cell>
        </row>
        <row r="25">
          <cell r="G25">
            <v>8569857.7699999996</v>
          </cell>
          <cell r="M25">
            <v>1490374454.0699999</v>
          </cell>
        </row>
        <row r="26">
          <cell r="G26">
            <v>1082166.28</v>
          </cell>
          <cell r="I26">
            <v>5.0000000000000001E-3</v>
          </cell>
          <cell r="M26">
            <v>11178643343.379999</v>
          </cell>
        </row>
        <row r="37">
          <cell r="G37">
            <v>7012365.2599999998</v>
          </cell>
          <cell r="I37">
            <v>-7.8100000000000003E-2</v>
          </cell>
          <cell r="M37">
            <v>598533700.20000005</v>
          </cell>
        </row>
        <row r="38">
          <cell r="G38">
            <v>3797500.36</v>
          </cell>
          <cell r="I38">
            <v>-8.6199999999999999E-2</v>
          </cell>
          <cell r="M38">
            <v>396266741.01999998</v>
          </cell>
        </row>
        <row r="39">
          <cell r="G39">
            <v>4149479.4</v>
          </cell>
          <cell r="I39">
            <v>-0.1109</v>
          </cell>
          <cell r="M39">
            <v>297491953.08999997</v>
          </cell>
        </row>
        <row r="42">
          <cell r="G42">
            <v>3447182.29</v>
          </cell>
          <cell r="I42">
            <v>3.39E-2</v>
          </cell>
          <cell r="M42">
            <v>1065111919.7</v>
          </cell>
        </row>
        <row r="43">
          <cell r="G43">
            <v>3340127.1</v>
          </cell>
          <cell r="I43">
            <v>4.5199999999999997E-2</v>
          </cell>
          <cell r="M43">
            <v>36173579.079999998</v>
          </cell>
        </row>
        <row r="45">
          <cell r="G45">
            <v>337239.7</v>
          </cell>
          <cell r="I45">
            <v>-6.3200000000000006E-2</v>
          </cell>
          <cell r="M45">
            <v>8964955.2200000007</v>
          </cell>
        </row>
        <row r="49">
          <cell r="G49">
            <v>4763.58</v>
          </cell>
          <cell r="I49">
            <v>0</v>
          </cell>
        </row>
        <row r="50">
          <cell r="G50">
            <v>252557926.67000005</v>
          </cell>
        </row>
      </sheetData>
      <sheetData sheetId="6">
        <row r="5">
          <cell r="G5">
            <v>12851044.359999999</v>
          </cell>
          <cell r="I5">
            <v>8.2000000000000007E-3</v>
          </cell>
        </row>
        <row r="6">
          <cell r="G6">
            <v>6383382.54</v>
          </cell>
          <cell r="I6">
            <v>3.5999999999999999E-3</v>
          </cell>
        </row>
        <row r="7">
          <cell r="G7">
            <v>10991205.27</v>
          </cell>
          <cell r="I7">
            <v>-6.0000000000000001E-3</v>
          </cell>
        </row>
        <row r="8">
          <cell r="G8">
            <v>10209906.32</v>
          </cell>
          <cell r="I8">
            <v>-8.0000000000000002E-3</v>
          </cell>
        </row>
        <row r="10">
          <cell r="G10">
            <v>19921629.359999999</v>
          </cell>
          <cell r="I10">
            <v>4.4000000000000003E-3</v>
          </cell>
          <cell r="M10">
            <v>1137325220.3800001</v>
          </cell>
        </row>
        <row r="11">
          <cell r="G11">
            <v>9865946.0700000003</v>
          </cell>
          <cell r="I11">
            <v>-2.0000000000000001E-4</v>
          </cell>
          <cell r="M11">
            <v>2084814916.3499999</v>
          </cell>
        </row>
        <row r="12">
          <cell r="G12">
            <v>17701026.960000001</v>
          </cell>
          <cell r="I12">
            <v>1E-4</v>
          </cell>
          <cell r="M12">
            <v>5450225090.3400002</v>
          </cell>
        </row>
        <row r="13">
          <cell r="G13">
            <v>41556221.369999997</v>
          </cell>
          <cell r="I13">
            <v>3.4200000000000002E-4</v>
          </cell>
          <cell r="M13">
            <v>2475197893.0100002</v>
          </cell>
        </row>
        <row r="14">
          <cell r="G14">
            <v>42380914.369999997</v>
          </cell>
          <cell r="I14">
            <v>4.2069999999999998E-3</v>
          </cell>
          <cell r="M14">
            <v>7668949035.8800001</v>
          </cell>
        </row>
        <row r="15">
          <cell r="G15">
            <v>4663274.3499999996</v>
          </cell>
          <cell r="I15">
            <v>-3.2000000000000002E-3</v>
          </cell>
          <cell r="M15">
            <v>267813735.44</v>
          </cell>
        </row>
        <row r="19">
          <cell r="G19">
            <v>19922778.190000001</v>
          </cell>
          <cell r="I19">
            <v>1.46E-4</v>
          </cell>
          <cell r="M19">
            <v>2255256718.3099999</v>
          </cell>
        </row>
        <row r="20">
          <cell r="G20">
            <v>20958692.149999999</v>
          </cell>
          <cell r="I20">
            <v>-3.5839999999999999E-3</v>
          </cell>
          <cell r="M20">
            <v>1884809390.51</v>
          </cell>
        </row>
        <row r="21">
          <cell r="G21">
            <v>8691379.0800000001</v>
          </cell>
          <cell r="I21">
            <v>3.8E-3</v>
          </cell>
          <cell r="M21">
            <v>536163794.24000001</v>
          </cell>
        </row>
        <row r="24">
          <cell r="G24">
            <v>17561.14</v>
          </cell>
          <cell r="I24">
            <v>5.1000000000000004E-3</v>
          </cell>
          <cell r="M24">
            <v>6681676467.8599997</v>
          </cell>
        </row>
        <row r="25">
          <cell r="G25">
            <v>8620039.9299999997</v>
          </cell>
          <cell r="M25">
            <v>1494479068.4000001</v>
          </cell>
        </row>
        <row r="26">
          <cell r="G26">
            <v>1087642.32</v>
          </cell>
          <cell r="I26">
            <v>5.1000000000000004E-3</v>
          </cell>
          <cell r="M26">
            <v>10845925063.57</v>
          </cell>
        </row>
        <row r="37">
          <cell r="G37">
            <v>3591926.86</v>
          </cell>
          <cell r="I37">
            <v>-3.0700000000000002E-2</v>
          </cell>
          <cell r="M37">
            <v>717829001.25999999</v>
          </cell>
        </row>
        <row r="38">
          <cell r="G38">
            <v>6830119.21</v>
          </cell>
          <cell r="I38">
            <v>-2.5999999999999999E-2</v>
          </cell>
          <cell r="M38">
            <v>599564848.42999995</v>
          </cell>
        </row>
        <row r="39">
          <cell r="G39">
            <v>3632146.26</v>
          </cell>
          <cell r="I39">
            <v>-4.3499999999999997E-2</v>
          </cell>
          <cell r="M39">
            <v>472313252.19</v>
          </cell>
        </row>
        <row r="40">
          <cell r="G40">
            <v>4018285.66</v>
          </cell>
          <cell r="I40">
            <v>-3.1600000000000003E-2</v>
          </cell>
          <cell r="M40">
            <v>280172647.86000001</v>
          </cell>
        </row>
        <row r="43">
          <cell r="G43">
            <v>3452775.11</v>
          </cell>
          <cell r="I43">
            <v>1.6000000000000001E-3</v>
          </cell>
          <cell r="M43">
            <v>1037025558.5</v>
          </cell>
        </row>
        <row r="44">
          <cell r="G44">
            <v>0</v>
          </cell>
          <cell r="I44">
            <v>0</v>
          </cell>
          <cell r="M44">
            <v>0</v>
          </cell>
        </row>
        <row r="46">
          <cell r="G46">
            <v>241770.41</v>
          </cell>
          <cell r="I46">
            <v>-0.28310000000000002</v>
          </cell>
          <cell r="M46">
            <v>6427063.5300000003</v>
          </cell>
        </row>
        <row r="48">
          <cell r="G48">
            <v>4883.43</v>
          </cell>
        </row>
        <row r="50">
          <cell r="I50">
            <v>0</v>
          </cell>
        </row>
        <row r="51">
          <cell r="G51">
            <v>257594550.72</v>
          </cell>
        </row>
      </sheetData>
      <sheetData sheetId="7">
        <row r="5">
          <cell r="G5">
            <v>12938508</v>
          </cell>
          <cell r="I5">
            <v>6.7999999999999996E-3</v>
          </cell>
        </row>
        <row r="6">
          <cell r="G6">
            <v>6518766.0700000003</v>
          </cell>
          <cell r="I6">
            <v>2.12E-2</v>
          </cell>
        </row>
        <row r="7">
          <cell r="G7">
            <v>11248083.779999999</v>
          </cell>
          <cell r="I7">
            <v>2.3400000000000001E-2</v>
          </cell>
        </row>
        <row r="8">
          <cell r="G8">
            <v>13106531.140000001</v>
          </cell>
          <cell r="I8">
            <v>1.4E-3</v>
          </cell>
        </row>
        <row r="9">
          <cell r="G9">
            <v>10485224.91</v>
          </cell>
          <cell r="I9">
            <v>2.7E-2</v>
          </cell>
        </row>
        <row r="11">
          <cell r="G11">
            <v>25412975.780000001</v>
          </cell>
          <cell r="I11">
            <v>1.46E-2</v>
          </cell>
          <cell r="M11">
            <v>1191348011.53</v>
          </cell>
        </row>
        <row r="12">
          <cell r="G12">
            <v>10014404.470000001</v>
          </cell>
          <cell r="I12">
            <v>1.4999999999999999E-2</v>
          </cell>
          <cell r="M12">
            <v>1927127997.78</v>
          </cell>
        </row>
        <row r="13">
          <cell r="G13">
            <v>14964210.08</v>
          </cell>
          <cell r="I13">
            <v>1.4831E-2</v>
          </cell>
          <cell r="M13">
            <v>5447124355.3299999</v>
          </cell>
        </row>
        <row r="14">
          <cell r="G14">
            <v>20213360.93</v>
          </cell>
          <cell r="I14">
            <v>1.4585000000000001E-2</v>
          </cell>
          <cell r="M14">
            <v>2278192713.8699999</v>
          </cell>
        </row>
        <row r="15">
          <cell r="G15">
            <v>33196021.649999999</v>
          </cell>
          <cell r="I15">
            <v>1.5878E-2</v>
          </cell>
          <cell r="M15">
            <v>2432051278.1199999</v>
          </cell>
        </row>
        <row r="16">
          <cell r="G16">
            <v>43000470.590000004</v>
          </cell>
          <cell r="I16">
            <v>1.4619E-2</v>
          </cell>
          <cell r="M16">
            <v>7322766489.3900003</v>
          </cell>
        </row>
        <row r="17">
          <cell r="G17">
            <v>4758748.58</v>
          </cell>
          <cell r="I17">
            <v>2.0500000000000001E-2</v>
          </cell>
          <cell r="M17">
            <v>266675055.75</v>
          </cell>
        </row>
        <row r="21">
          <cell r="G21">
            <v>21439488.98</v>
          </cell>
          <cell r="I21">
            <v>2.2939999999999999E-2</v>
          </cell>
          <cell r="M21">
            <v>1819137882.8299999</v>
          </cell>
        </row>
        <row r="24">
          <cell r="G24">
            <v>1381.04</v>
          </cell>
          <cell r="I24">
            <v>5.3E-3</v>
          </cell>
          <cell r="M24">
            <v>6791040417.9399996</v>
          </cell>
        </row>
        <row r="25">
          <cell r="G25">
            <v>8822144.0299999993</v>
          </cell>
          <cell r="I25">
            <v>1.4999999999999999E-2</v>
          </cell>
          <cell r="M25">
            <v>541139680.02999997</v>
          </cell>
        </row>
        <row r="26">
          <cell r="G26">
            <v>8669272.8800000008</v>
          </cell>
          <cell r="M26">
            <v>1394012894.54</v>
          </cell>
        </row>
        <row r="27">
          <cell r="G27">
            <v>0</v>
          </cell>
          <cell r="I27">
            <v>0</v>
          </cell>
          <cell r="M27">
            <v>10845925063.57</v>
          </cell>
        </row>
        <row r="38">
          <cell r="G38">
            <v>3816247.34</v>
          </cell>
          <cell r="I38">
            <v>6.2300000000000001E-2</v>
          </cell>
          <cell r="M38">
            <v>833064712.66999996</v>
          </cell>
        </row>
        <row r="39">
          <cell r="G39">
            <v>6964078</v>
          </cell>
          <cell r="I39">
            <v>1.9599999999999999E-2</v>
          </cell>
          <cell r="M39">
            <v>610160821.70000005</v>
          </cell>
        </row>
        <row r="40">
          <cell r="G40">
            <v>3900590.36</v>
          </cell>
          <cell r="I40">
            <v>7.3899999999999993E-2</v>
          </cell>
          <cell r="M40">
            <v>531813980.95999998</v>
          </cell>
        </row>
        <row r="41">
          <cell r="G41">
            <v>4232949.9800000004</v>
          </cell>
          <cell r="I41">
            <v>5.3400000000000003E-2</v>
          </cell>
          <cell r="M41">
            <v>281988478.39999998</v>
          </cell>
        </row>
        <row r="44">
          <cell r="G44">
            <v>3585645.95</v>
          </cell>
          <cell r="I44">
            <v>3.85E-2</v>
          </cell>
          <cell r="M44">
            <v>1054214856.05</v>
          </cell>
        </row>
        <row r="45">
          <cell r="G45">
            <v>0</v>
          </cell>
          <cell r="I45">
            <v>0</v>
          </cell>
          <cell r="M45">
            <v>0</v>
          </cell>
        </row>
        <row r="47">
          <cell r="G47">
            <v>217003.03</v>
          </cell>
          <cell r="I47">
            <v>-0.1024</v>
          </cell>
          <cell r="M47">
            <v>5768663.8200000003</v>
          </cell>
        </row>
        <row r="49">
          <cell r="G49">
            <v>10926.23</v>
          </cell>
        </row>
        <row r="51">
          <cell r="I51">
            <v>0</v>
          </cell>
        </row>
        <row r="52">
          <cell r="G52">
            <v>267517033.79999998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FINPrev Janeiro 2018"/>
      <sheetName val="FFINPrev Fevereiro 2018"/>
    </sheetNames>
    <sheetDataSet>
      <sheetData sheetId="0">
        <row r="5">
          <cell r="G5">
            <v>12875248.58</v>
          </cell>
        </row>
        <row r="19">
          <cell r="G19">
            <v>8422590.2200000007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"/>
      <sheetName val="FFINPrev Janeiro 2017"/>
      <sheetName val="FFINPrev Fevereiro 2017"/>
      <sheetName val="FFINPrev Março 2017"/>
      <sheetName val="FFINPrev Abril 2017"/>
      <sheetName val="FFINPrev Maio 2017"/>
      <sheetName val="FFINPrev Junho 2017"/>
      <sheetName val="FFINPrev Julho 2017"/>
      <sheetName val="FFINPrev Agosto 2017"/>
      <sheetName val="FFINPrev Setembro 2017"/>
      <sheetName val="FFINPrev Outubro 2017"/>
      <sheetName val="FFINPrev Novembro 2017"/>
      <sheetName val="FFINPrev Dezembro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7">
          <cell r="G57">
            <v>188735208.34999999</v>
          </cell>
        </row>
        <row r="58">
          <cell r="G58">
            <v>16278717.050000001</v>
          </cell>
        </row>
        <row r="59">
          <cell r="G59">
            <v>2030</v>
          </cell>
        </row>
      </sheetData>
      <sheetData sheetId="10"/>
      <sheetData sheetId="11"/>
      <sheetData sheetId="12">
        <row r="5">
          <cell r="G5">
            <v>12772420.35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Janeiro 2018"/>
      <sheetName val="Consolidado Junho 2018"/>
    </sheetNames>
    <sheetDataSet>
      <sheetData sheetId="0">
        <row r="91">
          <cell r="D91" t="str">
            <v xml:space="preserve">Renda Fixa </v>
          </cell>
          <cell r="H91">
            <v>0.80665044576475586</v>
          </cell>
        </row>
        <row r="92">
          <cell r="D92" t="str">
            <v xml:space="preserve">Renda variável </v>
          </cell>
          <cell r="H92">
            <v>0.18595838267604989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9"/>
  <sheetViews>
    <sheetView topLeftCell="A166" workbookViewId="0">
      <selection activeCell="N187" sqref="N187"/>
    </sheetView>
  </sheetViews>
  <sheetFormatPr defaultColWidth="9.140625" defaultRowHeight="14.25" x14ac:dyDescent="0.2"/>
  <cols>
    <col min="1" max="1" width="34.5703125" style="462" customWidth="1"/>
    <col min="2" max="2" width="11" style="462" customWidth="1"/>
    <col min="3" max="3" width="9.140625" style="462" bestFit="1" customWidth="1"/>
    <col min="4" max="7" width="8.7109375" style="462" customWidth="1"/>
    <col min="8" max="11" width="9.140625" style="462" bestFit="1" customWidth="1"/>
    <col min="12" max="12" width="9.85546875" style="462" bestFit="1" customWidth="1"/>
    <col min="13" max="13" width="9.140625" style="462" bestFit="1" customWidth="1"/>
    <col min="14" max="14" width="13.85546875" style="462" customWidth="1"/>
    <col min="15" max="16384" width="9.140625" style="462"/>
  </cols>
  <sheetData>
    <row r="1" spans="1:16" ht="15" thickBot="1" x14ac:dyDescent="0.25"/>
    <row r="2" spans="1:16" ht="18" x14ac:dyDescent="0.25">
      <c r="A2" s="760" t="s">
        <v>216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2"/>
    </row>
    <row r="3" spans="1:16" ht="15" thickBot="1" x14ac:dyDescent="0.25">
      <c r="A3" s="754" t="s">
        <v>217</v>
      </c>
      <c r="B3" s="755"/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6"/>
    </row>
    <row r="4" spans="1:16" ht="16.5" thickBot="1" x14ac:dyDescent="0.25">
      <c r="A4" s="463"/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</row>
    <row r="5" spans="1:16" ht="15.75" thickBot="1" x14ac:dyDescent="0.25">
      <c r="A5" s="464" t="s">
        <v>218</v>
      </c>
      <c r="B5" s="465">
        <v>40179</v>
      </c>
      <c r="C5" s="466">
        <v>40210</v>
      </c>
      <c r="D5" s="466">
        <v>40238</v>
      </c>
      <c r="E5" s="466">
        <v>40269</v>
      </c>
      <c r="F5" s="466">
        <v>40299</v>
      </c>
      <c r="G5" s="466">
        <v>40330</v>
      </c>
      <c r="H5" s="466">
        <v>40360</v>
      </c>
      <c r="I5" s="466">
        <v>40391</v>
      </c>
      <c r="J5" s="466">
        <v>40422</v>
      </c>
      <c r="K5" s="466">
        <v>40452</v>
      </c>
      <c r="L5" s="466">
        <v>40483</v>
      </c>
      <c r="M5" s="466">
        <v>40513</v>
      </c>
      <c r="N5" s="467" t="s">
        <v>219</v>
      </c>
    </row>
    <row r="6" spans="1:16" ht="15" x14ac:dyDescent="0.25">
      <c r="A6" s="468" t="s">
        <v>220</v>
      </c>
      <c r="B6" s="469">
        <v>1.2800000000000001E-2</v>
      </c>
      <c r="C6" s="470">
        <v>6.7000000000000002E-3</v>
      </c>
      <c r="D6" s="470">
        <v>1.78E-2</v>
      </c>
      <c r="E6" s="470">
        <v>2.58E-2</v>
      </c>
      <c r="F6" s="470">
        <v>2.0899999999999998E-2</v>
      </c>
      <c r="G6" s="470">
        <v>2.2000000000000001E-3</v>
      </c>
      <c r="H6" s="470">
        <v>1.4999999999999999E-2</v>
      </c>
      <c r="I6" s="470">
        <v>9.4999999999999998E-3</v>
      </c>
      <c r="J6" s="470">
        <v>1.89E-2</v>
      </c>
      <c r="K6" s="470">
        <v>6.3E-3</v>
      </c>
      <c r="L6" s="470">
        <v>2.0799999999999999E-2</v>
      </c>
      <c r="M6" s="470">
        <v>1.0699999999999999E-2</v>
      </c>
      <c r="N6" s="471">
        <f>(1+B6)*(1+C6)*(1+D6)*(1+E6)*(1+F6)*(1+G6)*(1+H6)*(1+I6)*(1+J6)*(1+K6)*(1+L6)*(1+M6)-1</f>
        <v>0.18054034123835372</v>
      </c>
      <c r="O6" s="472">
        <f>N6/N8</f>
        <v>1.811272985069994</v>
      </c>
      <c r="P6" s="473" t="s">
        <v>71</v>
      </c>
    </row>
    <row r="7" spans="1:16" ht="15" x14ac:dyDescent="0.25">
      <c r="A7" s="474" t="s">
        <v>221</v>
      </c>
      <c r="B7" s="475">
        <v>1.1299999999999999E-2</v>
      </c>
      <c r="C7" s="476">
        <v>8.0000000000000002E-3</v>
      </c>
      <c r="D7" s="476">
        <v>6.8999999999999999E-3</v>
      </c>
      <c r="E7" s="476">
        <v>1.04E-2</v>
      </c>
      <c r="F7" s="476">
        <v>1.09E-2</v>
      </c>
      <c r="G7" s="476">
        <v>9.1000000000000004E-3</v>
      </c>
      <c r="H7" s="476">
        <v>7.1999999999999998E-3</v>
      </c>
      <c r="I7" s="476">
        <v>5.7000000000000002E-3</v>
      </c>
      <c r="J7" s="476">
        <v>6.4999999999999997E-3</v>
      </c>
      <c r="K7" s="476">
        <v>7.3000000000000001E-3</v>
      </c>
      <c r="L7" s="476">
        <v>8.6E-3</v>
      </c>
      <c r="M7" s="476">
        <v>7.3000000000000001E-3</v>
      </c>
      <c r="N7" s="477">
        <f>(1+B7)*(1+C7)*(1+D7)*(1+E7)*(1+F7)*(1+G7)*(1+H7)*(1+I7)*(1+J7)*(1+K7)*(1+L7)*(1+M7)-1</f>
        <v>0.10381730564362135</v>
      </c>
      <c r="O7" s="478">
        <f>N6/N7</f>
        <v>1.739019714671687</v>
      </c>
    </row>
    <row r="8" spans="1:16" ht="15" x14ac:dyDescent="0.25">
      <c r="A8" s="474" t="s">
        <v>118</v>
      </c>
      <c r="B8" s="475">
        <v>1.04E-2</v>
      </c>
      <c r="C8" s="476">
        <v>8.5000000000000006E-3</v>
      </c>
      <c r="D8" s="476">
        <v>9.7000000000000003E-3</v>
      </c>
      <c r="E8" s="476">
        <v>8.3999999999999995E-3</v>
      </c>
      <c r="F8" s="476">
        <v>7.7000000000000002E-3</v>
      </c>
      <c r="G8" s="476">
        <v>7.4999999999999997E-3</v>
      </c>
      <c r="H8" s="476">
        <v>7.9000000000000008E-3</v>
      </c>
      <c r="I8" s="476">
        <v>7.7999999999999996E-3</v>
      </c>
      <c r="J8" s="476">
        <v>6.8999999999999999E-3</v>
      </c>
      <c r="K8" s="476">
        <v>6.8999999999999999E-3</v>
      </c>
      <c r="L8" s="476">
        <v>6.4999999999999997E-3</v>
      </c>
      <c r="M8" s="476">
        <v>7.1999999999999998E-3</v>
      </c>
      <c r="N8" s="477">
        <f>(1+B8)*(1+C8)*(1+D8)*(1+E8)*(1+F8)*(1+G8)*(1+H8)*(1+I8)*(1+J8)*(1+K8)*(1+L8)*(1+M8)-1</f>
        <v>9.9675942128280015E-2</v>
      </c>
    </row>
    <row r="9" spans="1:16" ht="18.75" thickBot="1" x14ac:dyDescent="0.3">
      <c r="A9" s="479" t="s">
        <v>222</v>
      </c>
      <c r="B9" s="480">
        <f t="shared" ref="B9:M9" si="0">B6-B7</f>
        <v>1.5000000000000013E-3</v>
      </c>
      <c r="C9" s="481">
        <f t="shared" si="0"/>
        <v>-1.2999999999999999E-3</v>
      </c>
      <c r="D9" s="482">
        <f t="shared" si="0"/>
        <v>1.09E-2</v>
      </c>
      <c r="E9" s="482">
        <f t="shared" si="0"/>
        <v>1.54E-2</v>
      </c>
      <c r="F9" s="482">
        <f t="shared" si="0"/>
        <v>9.9999999999999985E-3</v>
      </c>
      <c r="G9" s="483">
        <f t="shared" si="0"/>
        <v>-6.8999999999999999E-3</v>
      </c>
      <c r="H9" s="482">
        <f t="shared" si="0"/>
        <v>7.7999999999999996E-3</v>
      </c>
      <c r="I9" s="482">
        <f t="shared" si="0"/>
        <v>3.7999999999999996E-3</v>
      </c>
      <c r="J9" s="482">
        <f t="shared" si="0"/>
        <v>1.2400000000000001E-2</v>
      </c>
      <c r="K9" s="483">
        <f t="shared" si="0"/>
        <v>-1E-3</v>
      </c>
      <c r="L9" s="482">
        <f t="shared" si="0"/>
        <v>1.2199999999999999E-2</v>
      </c>
      <c r="M9" s="482">
        <f t="shared" si="0"/>
        <v>3.3999999999999994E-3</v>
      </c>
      <c r="N9" s="484">
        <f>(1+B9)*(1+C9)*(1+D9)*(1+E9)*(1+F9)*(1+G9)*(1+H9)*(1+I9)*(1+J9)*(1+K9)*(1+L9)*(1+M9)-1</f>
        <v>7.0102341973563131E-2</v>
      </c>
      <c r="O9" s="478"/>
    </row>
    <row r="12" spans="1:16" ht="15" thickBot="1" x14ac:dyDescent="0.25"/>
    <row r="13" spans="1:16" ht="18" x14ac:dyDescent="0.25">
      <c r="A13" s="760" t="s">
        <v>223</v>
      </c>
      <c r="B13" s="761"/>
      <c r="C13" s="761"/>
      <c r="D13" s="761"/>
      <c r="E13" s="761"/>
      <c r="F13" s="761"/>
      <c r="G13" s="761"/>
      <c r="H13" s="761"/>
      <c r="I13" s="761"/>
      <c r="J13" s="761"/>
      <c r="K13" s="761"/>
      <c r="L13" s="761"/>
      <c r="M13" s="761"/>
      <c r="N13" s="762"/>
    </row>
    <row r="14" spans="1:16" ht="15" thickBot="1" x14ac:dyDescent="0.25">
      <c r="A14" s="754" t="s">
        <v>217</v>
      </c>
      <c r="B14" s="755"/>
      <c r="C14" s="755"/>
      <c r="D14" s="755"/>
      <c r="E14" s="755"/>
      <c r="F14" s="755"/>
      <c r="G14" s="755"/>
      <c r="H14" s="755"/>
      <c r="I14" s="755"/>
      <c r="J14" s="755"/>
      <c r="K14" s="755"/>
      <c r="L14" s="755"/>
      <c r="M14" s="755"/>
      <c r="N14" s="756"/>
    </row>
    <row r="15" spans="1:16" ht="16.5" thickBot="1" x14ac:dyDescent="0.25">
      <c r="A15" s="463"/>
      <c r="B15" s="463"/>
      <c r="C15" s="463"/>
      <c r="D15" s="463"/>
      <c r="E15" s="463"/>
      <c r="F15" s="463"/>
      <c r="G15" s="463"/>
      <c r="H15" s="463"/>
      <c r="I15" s="463"/>
      <c r="J15" s="463"/>
      <c r="K15" s="463"/>
      <c r="L15" s="463"/>
      <c r="M15" s="463"/>
      <c r="N15" s="463"/>
    </row>
    <row r="16" spans="1:16" ht="15.75" thickBot="1" x14ac:dyDescent="0.25">
      <c r="A16" s="464" t="s">
        <v>218</v>
      </c>
      <c r="B16" s="465">
        <v>40179</v>
      </c>
      <c r="C16" s="466">
        <v>40210</v>
      </c>
      <c r="D16" s="466">
        <v>40238</v>
      </c>
      <c r="E16" s="466">
        <v>40269</v>
      </c>
      <c r="F16" s="466">
        <v>40299</v>
      </c>
      <c r="G16" s="466">
        <v>40330</v>
      </c>
      <c r="H16" s="466">
        <v>40360</v>
      </c>
      <c r="I16" s="466">
        <v>40391</v>
      </c>
      <c r="J16" s="466">
        <v>40422</v>
      </c>
      <c r="K16" s="466">
        <v>40452</v>
      </c>
      <c r="L16" s="466">
        <v>40483</v>
      </c>
      <c r="M16" s="466">
        <v>40513</v>
      </c>
      <c r="N16" s="467" t="s">
        <v>219</v>
      </c>
    </row>
    <row r="17" spans="1:16" ht="15" x14ac:dyDescent="0.25">
      <c r="A17" s="468" t="s">
        <v>220</v>
      </c>
      <c r="B17" s="469">
        <v>1.6999999999999999E-3</v>
      </c>
      <c r="C17" s="470">
        <v>1.0800000000000001E-2</v>
      </c>
      <c r="D17" s="470">
        <v>2.06E-2</v>
      </c>
      <c r="E17" s="485">
        <v>-1.6999999999999999E-3</v>
      </c>
      <c r="F17" s="485">
        <v>-8.6E-3</v>
      </c>
      <c r="G17" s="470">
        <v>5.5999999999999999E-3</v>
      </c>
      <c r="H17" s="470">
        <v>2.2499999999999999E-2</v>
      </c>
      <c r="I17" s="470">
        <v>1.17E-2</v>
      </c>
      <c r="J17" s="470">
        <v>1.52E-2</v>
      </c>
      <c r="K17" s="470">
        <v>1.5800000000000002E-2</v>
      </c>
      <c r="L17" s="470">
        <v>8.0000000000000004E-4</v>
      </c>
      <c r="M17" s="470">
        <v>1.9199999999999998E-2</v>
      </c>
      <c r="N17" s="471">
        <f>(1+B17)*(1+C17)*(1+D17)*(1+E17)*(1+F17)*(1+G17)*(1+H17)*(1+I17)*(1+J17)*(1+K17)*(1+L17)*(1+M17)-1</f>
        <v>0.11911654736519672</v>
      </c>
      <c r="O17" s="472">
        <f>N17/N19</f>
        <v>1.2229624986159828</v>
      </c>
      <c r="P17" s="473" t="s">
        <v>71</v>
      </c>
    </row>
    <row r="18" spans="1:16" ht="15" x14ac:dyDescent="0.25">
      <c r="A18" s="474" t="s">
        <v>221</v>
      </c>
      <c r="B18" s="475">
        <v>1.37E-2</v>
      </c>
      <c r="C18" s="476">
        <v>1.1900000000000001E-2</v>
      </c>
      <c r="D18" s="476">
        <v>1.2E-2</v>
      </c>
      <c r="E18" s="476">
        <v>1.2200000000000001E-2</v>
      </c>
      <c r="F18" s="476">
        <v>9.1000000000000004E-3</v>
      </c>
      <c r="G18" s="476">
        <v>3.8E-3</v>
      </c>
      <c r="H18" s="476">
        <v>4.1999999999999997E-3</v>
      </c>
      <c r="I18" s="476">
        <v>4.1999999999999997E-3</v>
      </c>
      <c r="J18" s="476">
        <v>1.03E-2</v>
      </c>
      <c r="K18" s="476">
        <v>1.41E-2</v>
      </c>
      <c r="L18" s="476">
        <v>1.5100000000000001E-2</v>
      </c>
      <c r="M18" s="476">
        <v>1.0800000000000001E-2</v>
      </c>
      <c r="N18" s="477">
        <f>(1+B18)*(1+C18)*(1+D18)*(1+E18)*(1+F18)*(1+G18)*(1+H18)*(1+I18)*(1+J18)*(1+K18)*(1+L18)*(1+M18)-1</f>
        <v>0.12829046032265534</v>
      </c>
      <c r="O18" s="478">
        <f>N17/N18</f>
        <v>0.92849107459443292</v>
      </c>
    </row>
    <row r="19" spans="1:16" ht="15" x14ac:dyDescent="0.25">
      <c r="A19" s="474" t="s">
        <v>118</v>
      </c>
      <c r="B19" s="475">
        <v>6.6E-3</v>
      </c>
      <c r="C19" s="476">
        <v>5.8999999999999999E-3</v>
      </c>
      <c r="D19" s="476">
        <v>7.6E-3</v>
      </c>
      <c r="E19" s="476">
        <v>6.6E-3</v>
      </c>
      <c r="F19" s="476">
        <v>7.4999999999999997E-3</v>
      </c>
      <c r="G19" s="476">
        <v>7.9000000000000008E-3</v>
      </c>
      <c r="H19" s="476">
        <v>8.6E-3</v>
      </c>
      <c r="I19" s="476">
        <v>8.8999999999999999E-3</v>
      </c>
      <c r="J19" s="476">
        <v>8.3999999999999995E-3</v>
      </c>
      <c r="K19" s="476">
        <v>8.0999999999999996E-3</v>
      </c>
      <c r="L19" s="476">
        <v>8.0999999999999996E-3</v>
      </c>
      <c r="M19" s="476">
        <v>9.2999999999999992E-3</v>
      </c>
      <c r="N19" s="477">
        <v>9.74E-2</v>
      </c>
    </row>
    <row r="20" spans="1:16" ht="18.75" thickBot="1" x14ac:dyDescent="0.3">
      <c r="A20" s="479" t="s">
        <v>222</v>
      </c>
      <c r="B20" s="486">
        <f t="shared" ref="B20:M20" si="1">B17-B18</f>
        <v>-1.2E-2</v>
      </c>
      <c r="C20" s="481">
        <f t="shared" si="1"/>
        <v>-1.1000000000000003E-3</v>
      </c>
      <c r="D20" s="482">
        <f t="shared" si="1"/>
        <v>8.6E-3</v>
      </c>
      <c r="E20" s="483">
        <f t="shared" si="1"/>
        <v>-1.3900000000000001E-2</v>
      </c>
      <c r="F20" s="483">
        <f t="shared" si="1"/>
        <v>-1.77E-2</v>
      </c>
      <c r="G20" s="482">
        <f t="shared" si="1"/>
        <v>1.8E-3</v>
      </c>
      <c r="H20" s="482">
        <f t="shared" si="1"/>
        <v>1.83E-2</v>
      </c>
      <c r="I20" s="482">
        <f t="shared" si="1"/>
        <v>7.5000000000000006E-3</v>
      </c>
      <c r="J20" s="482">
        <f t="shared" si="1"/>
        <v>4.8999999999999998E-3</v>
      </c>
      <c r="K20" s="482">
        <f t="shared" si="1"/>
        <v>1.7000000000000019E-3</v>
      </c>
      <c r="L20" s="483">
        <f t="shared" si="1"/>
        <v>-1.43E-2</v>
      </c>
      <c r="M20" s="482">
        <f t="shared" si="1"/>
        <v>8.3999999999999977E-3</v>
      </c>
      <c r="N20" s="487">
        <f>(1+B20)*(1+C20)*(1+D20)*(1+E20)*(1+F20)*(1+G20)*(1+H20)*(1+I20)*(1+J20)*(1+K20)*(1+L20)*(1+M20)-1</f>
        <v>-8.4766094814865411E-3</v>
      </c>
      <c r="O20" s="478"/>
    </row>
    <row r="23" spans="1:16" ht="15" thickBot="1" x14ac:dyDescent="0.25">
      <c r="C23" s="462">
        <f>((PRODUCT(1+Q49/100,1+R49/100,1+S49/100,1+T49/100,1+U49/100,1+V49/100,1+W49/100,1+X49/100,1+Y49/100,1+Z49/100,1+AA49/100,1+AB49/100))-1)*100</f>
        <v>0</v>
      </c>
    </row>
    <row r="24" spans="1:16" ht="18" x14ac:dyDescent="0.25">
      <c r="A24" s="760" t="s">
        <v>224</v>
      </c>
      <c r="B24" s="761"/>
      <c r="C24" s="761"/>
      <c r="D24" s="761"/>
      <c r="E24" s="761"/>
      <c r="F24" s="761"/>
      <c r="G24" s="761"/>
      <c r="H24" s="761"/>
      <c r="I24" s="761"/>
      <c r="J24" s="761"/>
      <c r="K24" s="761"/>
      <c r="L24" s="761"/>
      <c r="M24" s="761"/>
      <c r="N24" s="762"/>
    </row>
    <row r="25" spans="1:16" ht="15" thickBot="1" x14ac:dyDescent="0.25">
      <c r="A25" s="754" t="s">
        <v>225</v>
      </c>
      <c r="B25" s="755"/>
      <c r="C25" s="755"/>
      <c r="D25" s="755"/>
      <c r="E25" s="755"/>
      <c r="F25" s="755"/>
      <c r="G25" s="755"/>
      <c r="H25" s="755"/>
      <c r="I25" s="755"/>
      <c r="J25" s="755"/>
      <c r="K25" s="755"/>
      <c r="L25" s="755"/>
      <c r="M25" s="755"/>
      <c r="N25" s="756"/>
    </row>
    <row r="26" spans="1:16" s="489" customFormat="1" ht="16.5" thickBot="1" x14ac:dyDescent="0.25">
      <c r="A26" s="463"/>
      <c r="B26" s="463"/>
      <c r="C26" s="463"/>
      <c r="D26" s="463"/>
      <c r="E26" s="463"/>
      <c r="F26" s="463"/>
      <c r="G26" s="463"/>
      <c r="H26" s="463"/>
      <c r="I26" s="463"/>
      <c r="J26" s="463"/>
      <c r="K26" s="488" t="s">
        <v>226</v>
      </c>
      <c r="L26" s="488" t="s">
        <v>226</v>
      </c>
      <c r="M26" s="488" t="s">
        <v>226</v>
      </c>
      <c r="N26" s="488" t="s">
        <v>226</v>
      </c>
    </row>
    <row r="27" spans="1:16" ht="15.75" thickBot="1" x14ac:dyDescent="0.25">
      <c r="A27" s="464" t="s">
        <v>218</v>
      </c>
      <c r="B27" s="465">
        <v>40544</v>
      </c>
      <c r="C27" s="466">
        <v>40575</v>
      </c>
      <c r="D27" s="466">
        <v>40603</v>
      </c>
      <c r="E27" s="466">
        <v>40634</v>
      </c>
      <c r="F27" s="466">
        <v>40664</v>
      </c>
      <c r="G27" s="466">
        <v>40695</v>
      </c>
      <c r="H27" s="466">
        <v>40725</v>
      </c>
      <c r="I27" s="466">
        <v>40756</v>
      </c>
      <c r="J27" s="466">
        <v>40787</v>
      </c>
      <c r="K27" s="466">
        <v>40817</v>
      </c>
      <c r="L27" s="466">
        <v>40848</v>
      </c>
      <c r="M27" s="466">
        <v>40878</v>
      </c>
      <c r="N27" s="467" t="s">
        <v>219</v>
      </c>
    </row>
    <row r="28" spans="1:16" ht="15" x14ac:dyDescent="0.25">
      <c r="A28" s="468" t="s">
        <v>227</v>
      </c>
      <c r="B28" s="490">
        <v>-4.0000000000000001E-3</v>
      </c>
      <c r="C28" s="470">
        <v>7.4999999999999997E-3</v>
      </c>
      <c r="D28" s="470">
        <v>1.5100000000000001E-2</v>
      </c>
      <c r="E28" s="470">
        <v>4.0000000000000001E-3</v>
      </c>
      <c r="F28" s="470">
        <v>1.14E-2</v>
      </c>
      <c r="G28" s="485">
        <v>-1E-4</v>
      </c>
      <c r="H28" s="470">
        <v>1.2999999999999999E-3</v>
      </c>
      <c r="I28" s="470">
        <v>3.1399999999999997E-2</v>
      </c>
      <c r="J28" s="470">
        <v>4.5999999999999999E-3</v>
      </c>
      <c r="K28" s="470">
        <v>1.8499999999999999E-2</v>
      </c>
      <c r="L28" s="470">
        <v>1.04E-2</v>
      </c>
      <c r="M28" s="470">
        <v>6.7999999999999996E-3</v>
      </c>
      <c r="N28" s="471">
        <f>(1+B28)*(1+C28)*(1+D28)*(1+E28)*(1+F28)*(1+G28)*(1+H28)*(1+I28)*(1+J28)*(1+K28)*(1+L28)*(1+M28)-1</f>
        <v>0.11175360484602725</v>
      </c>
      <c r="O28" s="472">
        <f>N28/N30</f>
        <v>0.96299748925906337</v>
      </c>
      <c r="P28" s="473" t="s">
        <v>71</v>
      </c>
    </row>
    <row r="29" spans="1:16" ht="15" x14ac:dyDescent="0.25">
      <c r="A29" s="474" t="s">
        <v>221</v>
      </c>
      <c r="B29" s="475">
        <v>1.43E-2</v>
      </c>
      <c r="C29" s="476">
        <v>1.03E-2</v>
      </c>
      <c r="D29" s="476">
        <v>1.15E-2</v>
      </c>
      <c r="E29" s="476">
        <v>1.21E-2</v>
      </c>
      <c r="F29" s="476">
        <v>1.0699999999999999E-2</v>
      </c>
      <c r="G29" s="476">
        <v>7.1000000000000004E-3</v>
      </c>
      <c r="H29" s="476">
        <v>4.9800000000000001E-3</v>
      </c>
      <c r="I29" s="476">
        <v>9.1999999999999998E-3</v>
      </c>
      <c r="J29" s="476">
        <v>9.4000000000000004E-3</v>
      </c>
      <c r="K29" s="476">
        <v>8.0999999999999996E-3</v>
      </c>
      <c r="L29" s="476">
        <v>1.06E-2</v>
      </c>
      <c r="M29" s="476">
        <v>0.01</v>
      </c>
      <c r="N29" s="477">
        <f>(1+B29)*(1+C29)*(1+D29)*(1+E29)*(1+F29)*(1+G29)*(1+H29)*(1+I29)*(1+J29)*(1+K29)*(1+L29)*(1+M29)-1</f>
        <v>0.12487223103260225</v>
      </c>
      <c r="O29" s="472">
        <f>N28/N29</f>
        <v>0.89494360693251385</v>
      </c>
      <c r="P29" s="473" t="s">
        <v>228</v>
      </c>
    </row>
    <row r="30" spans="1:16" ht="15" x14ac:dyDescent="0.25">
      <c r="A30" s="474" t="s">
        <v>118</v>
      </c>
      <c r="B30" s="475">
        <v>8.6E-3</v>
      </c>
      <c r="C30" s="476">
        <v>8.3999999999999995E-3</v>
      </c>
      <c r="D30" s="476">
        <v>9.1999999999999998E-3</v>
      </c>
      <c r="E30" s="476">
        <v>8.3999999999999995E-3</v>
      </c>
      <c r="F30" s="476">
        <v>9.9000000000000008E-3</v>
      </c>
      <c r="G30" s="476">
        <v>9.4999999999999998E-3</v>
      </c>
      <c r="H30" s="476">
        <v>9.7000000000000003E-3</v>
      </c>
      <c r="I30" s="476">
        <v>1.0699999999999999E-2</v>
      </c>
      <c r="J30" s="476">
        <v>9.4000000000000004E-3</v>
      </c>
      <c r="K30" s="476">
        <v>8.8000000000000005E-3</v>
      </c>
      <c r="L30" s="476">
        <v>8.6E-3</v>
      </c>
      <c r="M30" s="476">
        <v>9.1000000000000004E-3</v>
      </c>
      <c r="N30" s="477">
        <f>(1+B30)*(1+C30)*(1+D30)*(1+E30)*(1+F30)*(1+G30)*(1+H30)*(1+I30)*(1+J30)*(1+K30)*(1+L30)*(1+M30)-1</f>
        <v>0.11604765961748376</v>
      </c>
    </row>
    <row r="31" spans="1:16" ht="18.75" thickBot="1" x14ac:dyDescent="0.3">
      <c r="A31" s="479" t="s">
        <v>222</v>
      </c>
      <c r="B31" s="491">
        <f t="shared" ref="B31:M31" si="2">B28-B29</f>
        <v>-1.83E-2</v>
      </c>
      <c r="C31" s="483">
        <f t="shared" si="2"/>
        <v>-2.8000000000000004E-3</v>
      </c>
      <c r="D31" s="482">
        <f t="shared" si="2"/>
        <v>3.6000000000000008E-3</v>
      </c>
      <c r="E31" s="483">
        <f t="shared" si="2"/>
        <v>-8.0999999999999996E-3</v>
      </c>
      <c r="F31" s="482">
        <f t="shared" si="2"/>
        <v>7.0000000000000097E-4</v>
      </c>
      <c r="G31" s="483">
        <f t="shared" si="2"/>
        <v>-7.2000000000000007E-3</v>
      </c>
      <c r="H31" s="483">
        <f t="shared" si="2"/>
        <v>-3.6800000000000001E-3</v>
      </c>
      <c r="I31" s="482">
        <f t="shared" si="2"/>
        <v>2.2199999999999998E-2</v>
      </c>
      <c r="J31" s="483">
        <f t="shared" si="2"/>
        <v>-4.8000000000000004E-3</v>
      </c>
      <c r="K31" s="492">
        <f t="shared" si="2"/>
        <v>1.04E-2</v>
      </c>
      <c r="L31" s="483">
        <f t="shared" si="2"/>
        <v>-2.0000000000000052E-4</v>
      </c>
      <c r="M31" s="483">
        <f t="shared" si="2"/>
        <v>-3.2000000000000006E-3</v>
      </c>
      <c r="N31" s="487">
        <f>(1+B31)*(1+C31)*(1+D31)*(1+E31)*(1+F31)*(1+G31)*(1+H31)*(1+I31)*(1+J31)*(1+K31)*(1+L31)*(1+M31)-1</f>
        <v>-1.1868228055944341E-2</v>
      </c>
    </row>
    <row r="34" spans="1:16" ht="15" thickBot="1" x14ac:dyDescent="0.25"/>
    <row r="35" spans="1:16" ht="18" x14ac:dyDescent="0.25">
      <c r="A35" s="760" t="s">
        <v>229</v>
      </c>
      <c r="B35" s="761"/>
      <c r="C35" s="761"/>
      <c r="D35" s="761"/>
      <c r="E35" s="761"/>
      <c r="F35" s="761"/>
      <c r="G35" s="761"/>
      <c r="H35" s="761"/>
      <c r="I35" s="761"/>
      <c r="J35" s="761"/>
      <c r="K35" s="761"/>
      <c r="L35" s="761"/>
      <c r="M35" s="761"/>
      <c r="N35" s="762"/>
    </row>
    <row r="36" spans="1:16" ht="15" thickBot="1" x14ac:dyDescent="0.25">
      <c r="A36" s="754" t="s">
        <v>217</v>
      </c>
      <c r="B36" s="755"/>
      <c r="C36" s="755"/>
      <c r="D36" s="755"/>
      <c r="E36" s="755"/>
      <c r="F36" s="755"/>
      <c r="G36" s="755"/>
      <c r="H36" s="755"/>
      <c r="I36" s="755"/>
      <c r="J36" s="755"/>
      <c r="K36" s="755"/>
      <c r="L36" s="755"/>
      <c r="M36" s="755"/>
      <c r="N36" s="756"/>
    </row>
    <row r="37" spans="1:16" ht="16.5" thickBot="1" x14ac:dyDescent="0.25">
      <c r="A37" s="463"/>
      <c r="B37" s="463"/>
      <c r="C37" s="463"/>
      <c r="D37" s="463"/>
      <c r="E37" s="463"/>
      <c r="F37" s="463"/>
      <c r="G37" s="463"/>
      <c r="H37" s="463"/>
      <c r="I37" s="463"/>
      <c r="J37" s="463"/>
      <c r="K37" s="463"/>
      <c r="L37" s="463"/>
      <c r="M37" s="463"/>
      <c r="N37" s="463"/>
      <c r="O37" s="489"/>
      <c r="P37" s="489"/>
    </row>
    <row r="38" spans="1:16" ht="15.75" thickBot="1" x14ac:dyDescent="0.25">
      <c r="A38" s="464" t="s">
        <v>218</v>
      </c>
      <c r="B38" s="465">
        <v>40909</v>
      </c>
      <c r="C38" s="466">
        <v>40940</v>
      </c>
      <c r="D38" s="466">
        <v>40969</v>
      </c>
      <c r="E38" s="466">
        <v>41000</v>
      </c>
      <c r="F38" s="466">
        <v>41030</v>
      </c>
      <c r="G38" s="466">
        <v>41061</v>
      </c>
      <c r="H38" s="466">
        <v>41091</v>
      </c>
      <c r="I38" s="466">
        <v>41122</v>
      </c>
      <c r="J38" s="466">
        <v>41153</v>
      </c>
      <c r="K38" s="466">
        <v>41183</v>
      </c>
      <c r="L38" s="466">
        <v>41214</v>
      </c>
      <c r="M38" s="466">
        <v>41244</v>
      </c>
      <c r="N38" s="467" t="s">
        <v>219</v>
      </c>
    </row>
    <row r="39" spans="1:16" ht="15" x14ac:dyDescent="0.25">
      <c r="A39" s="468" t="s">
        <v>230</v>
      </c>
      <c r="B39" s="469">
        <v>2.0199999999999999E-2</v>
      </c>
      <c r="C39" s="470">
        <v>2.0199999999999999E-2</v>
      </c>
      <c r="D39" s="470">
        <v>1.43E-2</v>
      </c>
      <c r="E39" s="470">
        <v>3.4299999999999997E-2</v>
      </c>
      <c r="F39" s="470">
        <v>5.8999999999999999E-3</v>
      </c>
      <c r="G39" s="485">
        <v>1.1000000000000001E-3</v>
      </c>
      <c r="H39" s="470">
        <v>2.2700000000000001E-2</v>
      </c>
      <c r="I39" s="470">
        <v>1.52E-2</v>
      </c>
      <c r="J39" s="470">
        <v>1.2999999999999999E-2</v>
      </c>
      <c r="K39" s="470">
        <v>2.69E-2</v>
      </c>
      <c r="L39" s="470">
        <v>6.7999999999999996E-3</v>
      </c>
      <c r="M39" s="470">
        <v>2.3800000000000002E-2</v>
      </c>
      <c r="N39" s="471">
        <f>(1+B39)*(1+C39)*(1+D39)*(1+E39)*(1+F39)*(1+G39)*(1+H39)*(1+I39)*(1+J39)*(1+K39)*(1+L39)*(1+M39)-1</f>
        <v>0.22408522076343473</v>
      </c>
      <c r="O39" s="472">
        <f>N39/N41</f>
        <v>2.6655050283687647</v>
      </c>
      <c r="P39" s="473" t="s">
        <v>71</v>
      </c>
    </row>
    <row r="40" spans="1:16" ht="15" x14ac:dyDescent="0.25">
      <c r="A40" s="474" t="s">
        <v>221</v>
      </c>
      <c r="B40" s="475">
        <f>0.0051*(1+0.005)+0.005</f>
        <v>1.0125499999999999E-2</v>
      </c>
      <c r="C40" s="476">
        <f>0.0039*(1+0.005)+0.005</f>
        <v>8.9195000000000003E-3</v>
      </c>
      <c r="D40" s="476">
        <v>6.7999999999999996E-3</v>
      </c>
      <c r="E40" s="476">
        <v>1.14E-2</v>
      </c>
      <c r="F40" s="476">
        <v>1.04E-2</v>
      </c>
      <c r="G40" s="476">
        <v>7.6E-3</v>
      </c>
      <c r="H40" s="476">
        <v>9.2999999999999992E-3</v>
      </c>
      <c r="I40" s="476">
        <v>9.4000000000000004E-3</v>
      </c>
      <c r="J40" s="476">
        <v>1.1299999999999999E-2</v>
      </c>
      <c r="K40" s="476">
        <v>1.21E-2</v>
      </c>
      <c r="L40" s="476">
        <v>1.04E-2</v>
      </c>
      <c r="M40" s="476">
        <v>1.24E-2</v>
      </c>
      <c r="N40" s="477">
        <f>(1+B40)*(1+C40)*(1+D40)*(1+E40)*(1+F40)*(1+G40)*(1+H40)*(1+I40)*(1+J40)*(1+K40)*(1+L40)*(1+M40)-1</f>
        <v>0.12696903417320171</v>
      </c>
      <c r="O40" s="478">
        <f>N39/N40</f>
        <v>1.7648808799927891</v>
      </c>
    </row>
    <row r="41" spans="1:16" ht="15" x14ac:dyDescent="0.25">
      <c r="A41" s="474" t="s">
        <v>118</v>
      </c>
      <c r="B41" s="475">
        <v>8.8999999999999999E-3</v>
      </c>
      <c r="C41" s="476">
        <v>7.4000000000000003E-3</v>
      </c>
      <c r="D41" s="476">
        <v>8.0999999999999996E-3</v>
      </c>
      <c r="E41" s="476">
        <v>7.0000000000000001E-3</v>
      </c>
      <c r="F41" s="476">
        <v>7.3000000000000001E-3</v>
      </c>
      <c r="G41" s="476">
        <v>6.4000000000000003E-3</v>
      </c>
      <c r="H41" s="476">
        <v>6.7999999999999996E-3</v>
      </c>
      <c r="I41" s="476">
        <v>6.8999999999999999E-3</v>
      </c>
      <c r="J41" s="476">
        <v>5.4000000000000003E-3</v>
      </c>
      <c r="K41" s="476">
        <v>6.1000000000000004E-3</v>
      </c>
      <c r="L41" s="476">
        <v>5.4000000000000003E-3</v>
      </c>
      <c r="M41" s="476">
        <v>5.3E-3</v>
      </c>
      <c r="N41" s="477">
        <f>(1+B41)*(1+C41)*(1+D41)*(1+E41)*(1+F41)*(1+G41)*(1+H41)*(1+I41)*(1+J41)*(1+K41)*(1+L41)*(1+M41)-1</f>
        <v>8.4068579266785459E-2</v>
      </c>
    </row>
    <row r="42" spans="1:16" ht="15.75" thickBot="1" x14ac:dyDescent="0.3">
      <c r="A42" s="479" t="s">
        <v>222</v>
      </c>
      <c r="B42" s="493">
        <f t="shared" ref="B42:N42" si="3">B39-B40</f>
        <v>1.00745E-2</v>
      </c>
      <c r="C42" s="492">
        <f t="shared" si="3"/>
        <v>1.1280499999999999E-2</v>
      </c>
      <c r="D42" s="482">
        <f t="shared" si="3"/>
        <v>7.5000000000000006E-3</v>
      </c>
      <c r="E42" s="482">
        <f t="shared" si="3"/>
        <v>2.2899999999999997E-2</v>
      </c>
      <c r="F42" s="482">
        <f t="shared" si="3"/>
        <v>-4.4999999999999997E-3</v>
      </c>
      <c r="G42" s="483">
        <f t="shared" si="3"/>
        <v>-6.4999999999999997E-3</v>
      </c>
      <c r="H42" s="492">
        <f t="shared" si="3"/>
        <v>1.3400000000000002E-2</v>
      </c>
      <c r="I42" s="482">
        <f t="shared" si="3"/>
        <v>5.7999999999999996E-3</v>
      </c>
      <c r="J42" s="492">
        <f t="shared" si="3"/>
        <v>1.7000000000000001E-3</v>
      </c>
      <c r="K42" s="492">
        <f t="shared" si="3"/>
        <v>1.4800000000000001E-2</v>
      </c>
      <c r="L42" s="492">
        <f t="shared" si="3"/>
        <v>-3.5999999999999999E-3</v>
      </c>
      <c r="M42" s="492">
        <f t="shared" si="3"/>
        <v>1.1400000000000002E-2</v>
      </c>
      <c r="N42" s="492">
        <f t="shared" si="3"/>
        <v>9.7116186590233022E-2</v>
      </c>
    </row>
    <row r="44" spans="1:16" x14ac:dyDescent="0.2">
      <c r="N44" s="462">
        <f>((PRODUCT(1+Q49/100,1+R49/100,1+S49/100,1+T49/100,1+U49/100,1+V49/100,1+W49/100,1+X49/100,1+Y49/100,1+Z49/100,1+AA49/100,1+AB49/100))-1)*100</f>
        <v>0</v>
      </c>
    </row>
    <row r="45" spans="1:16" ht="15" thickBot="1" x14ac:dyDescent="0.25"/>
    <row r="46" spans="1:16" ht="18" x14ac:dyDescent="0.25">
      <c r="A46" s="760" t="s">
        <v>229</v>
      </c>
      <c r="B46" s="761"/>
      <c r="C46" s="761"/>
      <c r="D46" s="761"/>
      <c r="E46" s="761"/>
      <c r="F46" s="761"/>
      <c r="G46" s="761"/>
      <c r="H46" s="761"/>
      <c r="I46" s="761"/>
      <c r="J46" s="761"/>
      <c r="K46" s="761"/>
      <c r="L46" s="761"/>
      <c r="M46" s="761"/>
      <c r="N46" s="762"/>
    </row>
    <row r="47" spans="1:16" ht="15" thickBot="1" x14ac:dyDescent="0.25">
      <c r="A47" s="754" t="s">
        <v>231</v>
      </c>
      <c r="B47" s="755"/>
      <c r="C47" s="755"/>
      <c r="D47" s="755"/>
      <c r="E47" s="755"/>
      <c r="F47" s="755"/>
      <c r="G47" s="755"/>
      <c r="H47" s="755"/>
      <c r="I47" s="755"/>
      <c r="J47" s="755"/>
      <c r="K47" s="755"/>
      <c r="L47" s="755"/>
      <c r="M47" s="755"/>
      <c r="N47" s="756"/>
    </row>
    <row r="48" spans="1:16" ht="16.5" thickBot="1" x14ac:dyDescent="0.25">
      <c r="A48" s="463"/>
      <c r="B48" s="463"/>
      <c r="C48" s="463"/>
      <c r="D48" s="463"/>
      <c r="E48" s="463"/>
      <c r="F48" s="463"/>
      <c r="G48" s="463"/>
      <c r="H48" s="463"/>
      <c r="I48" s="463"/>
      <c r="J48" s="463"/>
      <c r="K48" s="463"/>
      <c r="L48" s="463"/>
      <c r="M48" s="463"/>
      <c r="N48" s="463"/>
    </row>
    <row r="49" spans="1:14" ht="15.75" thickBot="1" x14ac:dyDescent="0.25">
      <c r="A49" s="464" t="s">
        <v>218</v>
      </c>
      <c r="B49" s="465">
        <v>40909</v>
      </c>
      <c r="C49" s="466">
        <v>40940</v>
      </c>
      <c r="D49" s="466">
        <v>40969</v>
      </c>
      <c r="E49" s="466">
        <v>41000</v>
      </c>
      <c r="F49" s="466">
        <v>41030</v>
      </c>
      <c r="G49" s="466">
        <v>41061</v>
      </c>
      <c r="H49" s="466">
        <v>41091</v>
      </c>
      <c r="I49" s="466">
        <v>41122</v>
      </c>
      <c r="J49" s="466">
        <v>41153</v>
      </c>
      <c r="K49" s="466">
        <v>41183</v>
      </c>
      <c r="L49" s="466">
        <v>41214</v>
      </c>
      <c r="M49" s="494">
        <v>41244</v>
      </c>
      <c r="N49" s="495" t="s">
        <v>219</v>
      </c>
    </row>
    <row r="50" spans="1:14" ht="15.75" thickBot="1" x14ac:dyDescent="0.3">
      <c r="A50" s="468" t="s">
        <v>230</v>
      </c>
      <c r="B50" s="496">
        <v>2.02</v>
      </c>
      <c r="C50" s="496">
        <v>2.02</v>
      </c>
      <c r="D50" s="496">
        <v>1.43</v>
      </c>
      <c r="E50" s="496">
        <v>3.43</v>
      </c>
      <c r="F50" s="496">
        <v>0.59</v>
      </c>
      <c r="G50" s="496">
        <v>0.11</v>
      </c>
      <c r="H50" s="496">
        <v>2.27</v>
      </c>
      <c r="I50" s="496">
        <v>1.52</v>
      </c>
      <c r="J50" s="496">
        <v>1.3</v>
      </c>
      <c r="K50" s="496">
        <v>2.69</v>
      </c>
      <c r="L50" s="496">
        <v>0.68</v>
      </c>
      <c r="M50" s="496">
        <v>2.38</v>
      </c>
      <c r="N50" s="497">
        <f>((PRODUCT(1+B50/100,1+C50/100,1+D50/100,1+E50/100,1+F50/100,1+G50/100,1+H50/100,1+I50/100,1+J50/100,1+K50/100,1+L50/100,1+M50/100))-1)*100</f>
        <v>22.408522076343473</v>
      </c>
    </row>
    <row r="51" spans="1:14" ht="15.75" thickBot="1" x14ac:dyDescent="0.3">
      <c r="A51" s="474" t="s">
        <v>221</v>
      </c>
      <c r="B51" s="496">
        <v>1.01</v>
      </c>
      <c r="C51" s="496">
        <v>0.89</v>
      </c>
      <c r="D51" s="496">
        <v>0.68</v>
      </c>
      <c r="E51" s="496">
        <v>1.1399999999999999</v>
      </c>
      <c r="F51" s="496">
        <v>1.04</v>
      </c>
      <c r="G51" s="496">
        <v>0.76</v>
      </c>
      <c r="H51" s="496">
        <v>0.93</v>
      </c>
      <c r="I51" s="496">
        <v>0.94</v>
      </c>
      <c r="J51" s="496">
        <v>1.1299999999999999</v>
      </c>
      <c r="K51" s="496">
        <v>1.21</v>
      </c>
      <c r="L51" s="496">
        <v>1.04</v>
      </c>
      <c r="M51" s="496">
        <v>1.24</v>
      </c>
      <c r="N51" s="497">
        <f>((PRODUCT(1+B51/100,1+C51/100,1+D51/100,1+E51/100,1+F51/100,1+G51/100,1+H51/100,1+I51/100,1+J51/100,1+K51/100,1+L51/100,1+M51/100))-1)*100</f>
        <v>12.691880346450791</v>
      </c>
    </row>
    <row r="52" spans="1:14" ht="15.75" thickBot="1" x14ac:dyDescent="0.3">
      <c r="A52" s="474" t="s">
        <v>118</v>
      </c>
      <c r="B52" s="496">
        <v>0.89</v>
      </c>
      <c r="C52" s="496">
        <v>0.74</v>
      </c>
      <c r="D52" s="496">
        <v>0.81</v>
      </c>
      <c r="E52" s="496">
        <v>0.7</v>
      </c>
      <c r="F52" s="496">
        <v>0.73</v>
      </c>
      <c r="G52" s="496">
        <v>0.64</v>
      </c>
      <c r="H52" s="496">
        <v>0.68</v>
      </c>
      <c r="I52" s="496">
        <v>0.69</v>
      </c>
      <c r="J52" s="496">
        <v>0.54</v>
      </c>
      <c r="K52" s="496">
        <v>0.61</v>
      </c>
      <c r="L52" s="496">
        <v>0.54</v>
      </c>
      <c r="M52" s="496">
        <v>0.53</v>
      </c>
      <c r="N52" s="497">
        <f>((PRODUCT(1+B52/100,1+C52/100,1+D52/100,1+E52/100,1+F52/100,1+G52/100,1+H52/100,1+I52/100,1+J52/100,1+K52/100,1+L52/100,1+M52/100))-1)*100</f>
        <v>8.4068579266785459</v>
      </c>
    </row>
    <row r="53" spans="1:14" ht="15.75" thickBot="1" x14ac:dyDescent="0.3">
      <c r="A53" s="479" t="s">
        <v>222</v>
      </c>
      <c r="B53" s="498">
        <f t="shared" ref="B53:N53" si="4">B50-B51</f>
        <v>1.01</v>
      </c>
      <c r="C53" s="498">
        <f t="shared" si="4"/>
        <v>1.1299999999999999</v>
      </c>
      <c r="D53" s="498">
        <f t="shared" si="4"/>
        <v>0.74999999999999989</v>
      </c>
      <c r="E53" s="498">
        <f t="shared" si="4"/>
        <v>2.29</v>
      </c>
      <c r="F53" s="499">
        <f t="shared" si="4"/>
        <v>-0.45000000000000007</v>
      </c>
      <c r="G53" s="498">
        <f t="shared" si="4"/>
        <v>-0.65</v>
      </c>
      <c r="H53" s="498">
        <f t="shared" si="4"/>
        <v>1.3399999999999999</v>
      </c>
      <c r="I53" s="498">
        <f t="shared" si="4"/>
        <v>0.58000000000000007</v>
      </c>
      <c r="J53" s="498">
        <f t="shared" si="4"/>
        <v>0.17000000000000015</v>
      </c>
      <c r="K53" s="498">
        <f t="shared" si="4"/>
        <v>1.48</v>
      </c>
      <c r="L53" s="498">
        <f t="shared" si="4"/>
        <v>-0.36</v>
      </c>
      <c r="M53" s="498">
        <f t="shared" si="4"/>
        <v>1.1399999999999999</v>
      </c>
      <c r="N53" s="500">
        <f t="shared" si="4"/>
        <v>9.7166417298926824</v>
      </c>
    </row>
    <row r="55" spans="1:14" ht="15" thickBot="1" x14ac:dyDescent="0.25"/>
    <row r="56" spans="1:14" ht="18" x14ac:dyDescent="0.25">
      <c r="A56" s="760" t="s">
        <v>232</v>
      </c>
      <c r="B56" s="761"/>
      <c r="C56" s="761"/>
      <c r="D56" s="761"/>
      <c r="E56" s="761"/>
      <c r="F56" s="761"/>
      <c r="G56" s="761"/>
      <c r="H56" s="761"/>
      <c r="I56" s="761"/>
      <c r="J56" s="761"/>
      <c r="K56" s="761"/>
      <c r="L56" s="761"/>
      <c r="M56" s="761"/>
      <c r="N56" s="762"/>
    </row>
    <row r="57" spans="1:14" ht="15" thickBot="1" x14ac:dyDescent="0.25">
      <c r="A57" s="754" t="s">
        <v>231</v>
      </c>
      <c r="B57" s="755"/>
      <c r="C57" s="755"/>
      <c r="D57" s="755"/>
      <c r="E57" s="755"/>
      <c r="F57" s="755"/>
      <c r="G57" s="755"/>
      <c r="H57" s="755"/>
      <c r="I57" s="755"/>
      <c r="J57" s="755"/>
      <c r="K57" s="755"/>
      <c r="L57" s="755"/>
      <c r="M57" s="755"/>
      <c r="N57" s="756"/>
    </row>
    <row r="58" spans="1:14" ht="15" thickBot="1" x14ac:dyDescent="0.25"/>
    <row r="59" spans="1:14" ht="15.75" thickBot="1" x14ac:dyDescent="0.25">
      <c r="A59" s="464" t="s">
        <v>218</v>
      </c>
      <c r="B59" s="465">
        <v>41275</v>
      </c>
      <c r="C59" s="465">
        <v>41306</v>
      </c>
      <c r="D59" s="465">
        <v>41334</v>
      </c>
      <c r="E59" s="465">
        <v>41365</v>
      </c>
      <c r="F59" s="465">
        <v>41395</v>
      </c>
      <c r="G59" s="465">
        <v>41426</v>
      </c>
      <c r="H59" s="465">
        <v>41456</v>
      </c>
      <c r="I59" s="465">
        <v>41487</v>
      </c>
      <c r="J59" s="465">
        <v>41518</v>
      </c>
      <c r="K59" s="465">
        <v>41548</v>
      </c>
      <c r="L59" s="465">
        <v>41579</v>
      </c>
      <c r="M59" s="465">
        <v>41609</v>
      </c>
      <c r="N59" s="495" t="s">
        <v>219</v>
      </c>
    </row>
    <row r="60" spans="1:14" ht="15.75" thickBot="1" x14ac:dyDescent="0.3">
      <c r="A60" s="468" t="s">
        <v>230</v>
      </c>
      <c r="B60" s="496">
        <v>0.47</v>
      </c>
      <c r="C60" s="496">
        <v>-0.7</v>
      </c>
      <c r="D60" s="496">
        <v>-1.31</v>
      </c>
      <c r="E60" s="496">
        <v>1.18</v>
      </c>
      <c r="F60" s="496">
        <v>-2.31</v>
      </c>
      <c r="G60" s="496">
        <v>-3.31</v>
      </c>
      <c r="H60" s="496">
        <v>0.99</v>
      </c>
      <c r="I60" s="496">
        <v>-1.3</v>
      </c>
      <c r="J60" s="496">
        <v>1.32</v>
      </c>
      <c r="K60" s="496">
        <v>1.26</v>
      </c>
      <c r="L60" s="496">
        <v>-2.5299999999999998</v>
      </c>
      <c r="M60" s="496">
        <v>0.19</v>
      </c>
      <c r="N60" s="497">
        <f>((PRODUCT(1+B60/100,1+C60/100,1+D60/100,1+E60/100,1+F60/100,1+G60/100,1+H60/100,1+I60/100,1+J60/100,1+K60/100,1+L60/100,1+M60/100))-1)*100</f>
        <v>-6.0256963345455494</v>
      </c>
    </row>
    <row r="61" spans="1:14" ht="15.75" thickBot="1" x14ac:dyDescent="0.3">
      <c r="A61" s="474" t="s">
        <v>221</v>
      </c>
      <c r="B61" s="496">
        <v>1.41</v>
      </c>
      <c r="C61" s="496">
        <v>1.02</v>
      </c>
      <c r="D61" s="496">
        <v>1.1000000000000001</v>
      </c>
      <c r="E61" s="496">
        <v>1.0900000000000001</v>
      </c>
      <c r="F61" s="496">
        <v>0.85</v>
      </c>
      <c r="G61" s="496">
        <v>0.78</v>
      </c>
      <c r="H61" s="496">
        <v>0.37</v>
      </c>
      <c r="I61" s="496">
        <v>0.66</v>
      </c>
      <c r="J61" s="496">
        <v>0.77</v>
      </c>
      <c r="K61" s="496">
        <v>1.1100000000000001</v>
      </c>
      <c r="L61" s="496">
        <v>1.04</v>
      </c>
      <c r="M61" s="496">
        <v>1.22</v>
      </c>
      <c r="N61" s="497">
        <f>((PRODUCT(1+B61/100,1+C61/100,1+D61/100,1+E61/100,1+F61/100,1+G61/100,1+H61/100,1+I61/100,1+J61/100,1+K61/100,1+L61/100,1+M61/100))-1)*100</f>
        <v>12.032401441100138</v>
      </c>
    </row>
    <row r="62" spans="1:14" ht="15.75" thickBot="1" x14ac:dyDescent="0.3">
      <c r="A62" s="474" t="s">
        <v>118</v>
      </c>
      <c r="B62" s="496">
        <v>0.59</v>
      </c>
      <c r="C62" s="496">
        <v>0.48</v>
      </c>
      <c r="D62" s="496">
        <v>0.54</v>
      </c>
      <c r="E62" s="496">
        <v>0.6</v>
      </c>
      <c r="F62" s="496">
        <v>0.57999999999999996</v>
      </c>
      <c r="G62" s="496">
        <v>0.59</v>
      </c>
      <c r="H62" s="496">
        <v>0.71</v>
      </c>
      <c r="I62" s="496">
        <v>0.69</v>
      </c>
      <c r="J62" s="496">
        <v>0.7</v>
      </c>
      <c r="K62" s="496">
        <v>0.8</v>
      </c>
      <c r="L62" s="496">
        <v>0.71</v>
      </c>
      <c r="M62" s="496">
        <v>0.78</v>
      </c>
      <c r="N62" s="497">
        <f>((PRODUCT(1+B62/100,1+C62/100,1+D62/100,1+E62/100,1+F62/100,1+G62/100,1+H62/100,1+I62/100,1+J62/100,1+K62/100,1+L62/100,1+M62/100))-1)*100</f>
        <v>8.0522028082237398</v>
      </c>
    </row>
    <row r="63" spans="1:14" ht="15.75" thickBot="1" x14ac:dyDescent="0.3">
      <c r="A63" s="479" t="s">
        <v>222</v>
      </c>
      <c r="B63" s="499">
        <f t="shared" ref="B63:N63" si="5">B60-B61</f>
        <v>-0.94</v>
      </c>
      <c r="C63" s="499">
        <f t="shared" si="5"/>
        <v>-1.72</v>
      </c>
      <c r="D63" s="499">
        <f t="shared" si="5"/>
        <v>-2.41</v>
      </c>
      <c r="E63" s="498">
        <f t="shared" si="5"/>
        <v>8.9999999999999858E-2</v>
      </c>
      <c r="F63" s="499">
        <f t="shared" si="5"/>
        <v>-3.16</v>
      </c>
      <c r="G63" s="499">
        <f t="shared" si="5"/>
        <v>-4.09</v>
      </c>
      <c r="H63" s="498">
        <f t="shared" si="5"/>
        <v>0.62</v>
      </c>
      <c r="I63" s="499">
        <f t="shared" si="5"/>
        <v>-1.96</v>
      </c>
      <c r="J63" s="498">
        <f t="shared" si="5"/>
        <v>0.55000000000000004</v>
      </c>
      <c r="K63" s="498">
        <f t="shared" si="5"/>
        <v>0.14999999999999991</v>
      </c>
      <c r="L63" s="498">
        <f t="shared" si="5"/>
        <v>-3.57</v>
      </c>
      <c r="M63" s="498">
        <f t="shared" si="5"/>
        <v>-1.03</v>
      </c>
      <c r="N63" s="501">
        <f t="shared" si="5"/>
        <v>-18.058097775645688</v>
      </c>
    </row>
    <row r="64" spans="1:14" ht="15" thickBot="1" x14ac:dyDescent="0.25"/>
    <row r="65" spans="1:14" ht="18" x14ac:dyDescent="0.25">
      <c r="A65" s="760" t="s">
        <v>233</v>
      </c>
      <c r="B65" s="761"/>
      <c r="C65" s="761"/>
      <c r="D65" s="761"/>
      <c r="E65" s="761"/>
      <c r="F65" s="761"/>
      <c r="G65" s="761"/>
      <c r="H65" s="761"/>
      <c r="I65" s="761"/>
      <c r="J65" s="761"/>
      <c r="K65" s="761"/>
      <c r="L65" s="761"/>
      <c r="M65" s="761"/>
      <c r="N65" s="762"/>
    </row>
    <row r="66" spans="1:14" ht="15" thickBot="1" x14ac:dyDescent="0.25">
      <c r="A66" s="754" t="s">
        <v>231</v>
      </c>
      <c r="B66" s="755"/>
      <c r="C66" s="755"/>
      <c r="D66" s="755"/>
      <c r="E66" s="755"/>
      <c r="F66" s="755"/>
      <c r="G66" s="755"/>
      <c r="H66" s="755"/>
      <c r="I66" s="755"/>
      <c r="J66" s="755"/>
      <c r="K66" s="755"/>
      <c r="L66" s="755"/>
      <c r="M66" s="755"/>
      <c r="N66" s="756"/>
    </row>
    <row r="67" spans="1:14" ht="16.5" thickBot="1" x14ac:dyDescent="0.25">
      <c r="A67" s="463"/>
      <c r="B67" s="463"/>
      <c r="C67" s="463"/>
      <c r="D67" s="463"/>
      <c r="E67" s="463"/>
      <c r="F67" s="463"/>
      <c r="G67" s="463"/>
      <c r="H67" s="463"/>
      <c r="I67" s="463"/>
      <c r="J67" s="463"/>
      <c r="K67" s="463"/>
      <c r="L67" s="463"/>
      <c r="M67" s="463"/>
      <c r="N67" s="463"/>
    </row>
    <row r="68" spans="1:14" ht="15.75" thickBot="1" x14ac:dyDescent="0.25">
      <c r="A68" s="464" t="s">
        <v>218</v>
      </c>
      <c r="B68" s="465">
        <v>41275</v>
      </c>
      <c r="C68" s="466">
        <v>41306</v>
      </c>
      <c r="D68" s="466">
        <v>41334</v>
      </c>
      <c r="E68" s="466">
        <v>41365</v>
      </c>
      <c r="F68" s="466">
        <v>41395</v>
      </c>
      <c r="G68" s="466">
        <v>41426</v>
      </c>
      <c r="H68" s="466">
        <v>41456</v>
      </c>
      <c r="I68" s="466">
        <v>41487</v>
      </c>
      <c r="J68" s="466">
        <v>41518</v>
      </c>
      <c r="K68" s="466">
        <v>41548</v>
      </c>
      <c r="L68" s="466">
        <v>41579</v>
      </c>
      <c r="M68" s="494">
        <v>41609</v>
      </c>
      <c r="N68" s="495" t="s">
        <v>219</v>
      </c>
    </row>
    <row r="69" spans="1:14" ht="15.75" thickBot="1" x14ac:dyDescent="0.3">
      <c r="A69" s="468" t="s">
        <v>230</v>
      </c>
      <c r="B69" s="496">
        <v>0.47</v>
      </c>
      <c r="C69" s="496">
        <v>-0.7</v>
      </c>
      <c r="D69" s="496">
        <v>-1.31</v>
      </c>
      <c r="E69" s="496">
        <v>1.18</v>
      </c>
      <c r="F69" s="496">
        <v>-2.31</v>
      </c>
      <c r="G69" s="496">
        <v>-3.31</v>
      </c>
      <c r="H69" s="496">
        <v>0.99</v>
      </c>
      <c r="I69" s="496">
        <v>-1.3</v>
      </c>
      <c r="J69" s="496">
        <v>1.32</v>
      </c>
      <c r="K69" s="496">
        <v>1.26</v>
      </c>
      <c r="L69" s="496">
        <v>-2.5299999999999998</v>
      </c>
      <c r="M69" s="496">
        <v>0.19</v>
      </c>
      <c r="N69" s="497">
        <f>((PRODUCT(1+B69/100,1+C69/100,1+D69/100,1+E69/100,1+F69/100,1+G69/100,1+H69/100,1+I69/100,1+J69/100,1+K69/100,1+L69/100,1+M69/100))-1)*100</f>
        <v>-6.0256963345455494</v>
      </c>
    </row>
    <row r="70" spans="1:14" ht="15.75" thickBot="1" x14ac:dyDescent="0.3">
      <c r="A70" s="474" t="s">
        <v>221</v>
      </c>
      <c r="B70" s="496">
        <v>1.42</v>
      </c>
      <c r="C70" s="496">
        <v>1.02</v>
      </c>
      <c r="D70" s="496">
        <v>1.1000000000000001</v>
      </c>
      <c r="E70" s="496">
        <v>1.0900000000000001</v>
      </c>
      <c r="F70" s="496">
        <v>0.85</v>
      </c>
      <c r="G70" s="496">
        <v>0.78</v>
      </c>
      <c r="H70" s="496">
        <v>0.37</v>
      </c>
      <c r="I70" s="496">
        <v>0.66</v>
      </c>
      <c r="J70" s="496">
        <v>0.77</v>
      </c>
      <c r="K70" s="496">
        <v>1.1100000000000001</v>
      </c>
      <c r="L70" s="496">
        <v>1.04</v>
      </c>
      <c r="M70" s="496">
        <v>1.22</v>
      </c>
      <c r="N70" s="497">
        <f>((PRODUCT(1+B70/100,1+C70/100,1+D70/100,1+E70/100,1+F70/100,1+G70/100,1+H70/100,1+I70/100,1+J70/100,1+K70/100,1+L70/100,1+M70/100))-1)*100</f>
        <v>12.043448911905919</v>
      </c>
    </row>
    <row r="71" spans="1:14" ht="15.75" thickBot="1" x14ac:dyDescent="0.3">
      <c r="A71" s="474" t="s">
        <v>118</v>
      </c>
      <c r="B71" s="496">
        <v>0.59</v>
      </c>
      <c r="C71" s="496">
        <v>0.48</v>
      </c>
      <c r="D71" s="496">
        <v>0.54</v>
      </c>
      <c r="E71" s="496">
        <v>0.6</v>
      </c>
      <c r="F71" s="496">
        <v>0.57999999999999996</v>
      </c>
      <c r="G71" s="496">
        <v>0.59</v>
      </c>
      <c r="H71" s="496">
        <v>0.71</v>
      </c>
      <c r="I71" s="496">
        <v>0.69</v>
      </c>
      <c r="J71" s="496">
        <v>0.7</v>
      </c>
      <c r="K71" s="496">
        <v>0.8</v>
      </c>
      <c r="L71" s="496">
        <v>0.71</v>
      </c>
      <c r="M71" s="496">
        <v>0.78</v>
      </c>
      <c r="N71" s="497">
        <f>((PRODUCT(1+B71/100,1+C71/100,1+D71/100,1+E71/100,1+F71/100,1+G71/100,1+H71/100,1+I71/100,1+J71/100,1+K71/100,1+L71/100,1+M71/100))-1)*100</f>
        <v>8.0522028082237398</v>
      </c>
    </row>
    <row r="72" spans="1:14" ht="15.75" thickBot="1" x14ac:dyDescent="0.3">
      <c r="A72" s="479" t="s">
        <v>222</v>
      </c>
      <c r="B72" s="498">
        <f t="shared" ref="B72:N72" si="6">B69-B70</f>
        <v>-0.95</v>
      </c>
      <c r="C72" s="498">
        <f t="shared" si="6"/>
        <v>-1.72</v>
      </c>
      <c r="D72" s="498">
        <f t="shared" si="6"/>
        <v>-2.41</v>
      </c>
      <c r="E72" s="498">
        <f t="shared" si="6"/>
        <v>8.9999999999999858E-2</v>
      </c>
      <c r="F72" s="499">
        <f t="shared" si="6"/>
        <v>-3.16</v>
      </c>
      <c r="G72" s="498">
        <f t="shared" si="6"/>
        <v>-4.09</v>
      </c>
      <c r="H72" s="498">
        <f t="shared" si="6"/>
        <v>0.62</v>
      </c>
      <c r="I72" s="498">
        <f t="shared" si="6"/>
        <v>-1.96</v>
      </c>
      <c r="J72" s="498">
        <f t="shared" si="6"/>
        <v>0.55000000000000004</v>
      </c>
      <c r="K72" s="498">
        <f t="shared" si="6"/>
        <v>0.14999999999999991</v>
      </c>
      <c r="L72" s="498">
        <f t="shared" si="6"/>
        <v>-3.57</v>
      </c>
      <c r="M72" s="498">
        <f t="shared" si="6"/>
        <v>-1.03</v>
      </c>
      <c r="N72" s="501">
        <f t="shared" si="6"/>
        <v>-18.06914524645147</v>
      </c>
    </row>
    <row r="74" spans="1:14" ht="15" thickBot="1" x14ac:dyDescent="0.25"/>
    <row r="75" spans="1:14" ht="18" x14ac:dyDescent="0.25">
      <c r="A75" s="760" t="s">
        <v>234</v>
      </c>
      <c r="B75" s="761"/>
      <c r="C75" s="761"/>
      <c r="D75" s="761"/>
      <c r="E75" s="761"/>
      <c r="F75" s="761"/>
      <c r="G75" s="761"/>
      <c r="H75" s="761"/>
      <c r="I75" s="761"/>
      <c r="J75" s="761"/>
      <c r="K75" s="761"/>
      <c r="L75" s="761"/>
      <c r="M75" s="761"/>
      <c r="N75" s="762"/>
    </row>
    <row r="76" spans="1:14" ht="15" thickBot="1" x14ac:dyDescent="0.25">
      <c r="A76" s="754" t="s">
        <v>231</v>
      </c>
      <c r="B76" s="755"/>
      <c r="C76" s="755"/>
      <c r="D76" s="755"/>
      <c r="E76" s="755"/>
      <c r="F76" s="755"/>
      <c r="G76" s="755"/>
      <c r="H76" s="755"/>
      <c r="I76" s="755"/>
      <c r="J76" s="755"/>
      <c r="K76" s="755"/>
      <c r="L76" s="755"/>
      <c r="M76" s="755"/>
      <c r="N76" s="756"/>
    </row>
    <row r="77" spans="1:14" ht="15" thickBot="1" x14ac:dyDescent="0.25"/>
    <row r="78" spans="1:14" ht="15.75" thickBot="1" x14ac:dyDescent="0.25">
      <c r="A78" s="464" t="s">
        <v>218</v>
      </c>
      <c r="B78" s="465">
        <v>41640</v>
      </c>
      <c r="C78" s="465">
        <v>41671</v>
      </c>
      <c r="D78" s="465">
        <v>41699</v>
      </c>
      <c r="E78" s="465">
        <v>41730</v>
      </c>
      <c r="F78" s="465">
        <v>41760</v>
      </c>
      <c r="G78" s="465">
        <v>41791</v>
      </c>
      <c r="H78" s="465">
        <v>41821</v>
      </c>
      <c r="I78" s="465">
        <v>41852</v>
      </c>
      <c r="J78" s="465">
        <v>41883</v>
      </c>
      <c r="K78" s="465">
        <v>41913</v>
      </c>
      <c r="L78" s="465">
        <v>41944</v>
      </c>
      <c r="M78" s="465">
        <v>41974</v>
      </c>
      <c r="N78" s="495" t="s">
        <v>219</v>
      </c>
    </row>
    <row r="79" spans="1:14" ht="15.75" thickBot="1" x14ac:dyDescent="0.3">
      <c r="A79" s="468" t="s">
        <v>230</v>
      </c>
      <c r="B79" s="502">
        <v>-1.79</v>
      </c>
      <c r="C79" s="496">
        <v>2.1</v>
      </c>
      <c r="D79" s="496">
        <v>2.12</v>
      </c>
      <c r="E79" s="496">
        <v>1.61</v>
      </c>
      <c r="F79" s="496">
        <v>2.78</v>
      </c>
      <c r="G79" s="496">
        <v>0.98</v>
      </c>
      <c r="H79" s="496">
        <v>1.02</v>
      </c>
      <c r="I79" s="496">
        <v>4.4400000000000004</v>
      </c>
      <c r="J79" s="502">
        <v>-3.66</v>
      </c>
      <c r="K79" s="496">
        <v>1.44</v>
      </c>
      <c r="L79" s="496">
        <v>1.33</v>
      </c>
      <c r="M79" s="502">
        <v>-2.1</v>
      </c>
      <c r="N79" s="497">
        <f>((PRODUCT(1+B79/100,1+C79/100,1+D79/100,1+E79/100,1+F79/100,1+G79/100,1+H79/100,1+I79/100,1+J79/100,1+K79/100,1+L79/100,1+M79/100))-1)*100</f>
        <v>10.45453066683244</v>
      </c>
    </row>
    <row r="80" spans="1:14" ht="15.75" thickBot="1" x14ac:dyDescent="0.3">
      <c r="A80" s="474" t="s">
        <v>221</v>
      </c>
      <c r="B80" s="496">
        <v>1.1332</v>
      </c>
      <c r="C80" s="496">
        <v>1.1399999999999999</v>
      </c>
      <c r="D80" s="496">
        <v>1.32</v>
      </c>
      <c r="E80" s="496">
        <v>1.28</v>
      </c>
      <c r="F80" s="496">
        <v>1.1000000000000001</v>
      </c>
      <c r="G80" s="496">
        <v>0.76</v>
      </c>
      <c r="H80" s="496">
        <v>0.63</v>
      </c>
      <c r="I80" s="496">
        <v>0.68</v>
      </c>
      <c r="J80" s="496">
        <v>0.99</v>
      </c>
      <c r="K80" s="496">
        <v>0.88</v>
      </c>
      <c r="L80" s="496">
        <v>1.03</v>
      </c>
      <c r="M80" s="496">
        <v>1.1200000000000001</v>
      </c>
      <c r="N80" s="497">
        <f>((PRODUCT(1+B80/100,1+C80/100,1+D80/100,1+E80/100,1+F80/100,1+G80/100,1+H80/100,1+I80/100,1+J80/100,1+K80/100,1+L80/100,1+M80/100))-1)*100</f>
        <v>12.749967645240435</v>
      </c>
    </row>
    <row r="81" spans="1:14" ht="15.75" thickBot="1" x14ac:dyDescent="0.3">
      <c r="A81" s="474" t="s">
        <v>118</v>
      </c>
      <c r="B81" s="496">
        <v>0.84</v>
      </c>
      <c r="C81" s="496">
        <v>0.78</v>
      </c>
      <c r="D81" s="496">
        <v>0.76</v>
      </c>
      <c r="E81" s="496">
        <v>0.82</v>
      </c>
      <c r="F81" s="496">
        <v>0.86</v>
      </c>
      <c r="G81" s="496">
        <v>0.82</v>
      </c>
      <c r="H81" s="496">
        <v>0.94</v>
      </c>
      <c r="I81" s="496">
        <v>0.86</v>
      </c>
      <c r="J81" s="496">
        <v>0.9</v>
      </c>
      <c r="K81" s="496">
        <v>0.94</v>
      </c>
      <c r="L81" s="496">
        <v>0.84</v>
      </c>
      <c r="M81" s="496">
        <v>0.96</v>
      </c>
      <c r="N81" s="497">
        <f>((PRODUCT(1+B81/100,1+C81/100,1+D81/100,1+E81/100,1+F81/100,1+G81/100,1+H81/100,1+I81/100,1+J81/100,1+K81/100,1+L81/100,1+M81/100))-1)*100</f>
        <v>10.822159753339978</v>
      </c>
    </row>
    <row r="82" spans="1:14" s="506" customFormat="1" ht="15.75" thickBot="1" x14ac:dyDescent="0.3">
      <c r="A82" s="503" t="s">
        <v>222</v>
      </c>
      <c r="B82" s="501">
        <f t="shared" ref="B82:N82" si="7">B79-B80</f>
        <v>-2.9232</v>
      </c>
      <c r="C82" s="500">
        <f t="shared" si="7"/>
        <v>0.96000000000000019</v>
      </c>
      <c r="D82" s="500">
        <f t="shared" si="7"/>
        <v>0.8</v>
      </c>
      <c r="E82" s="500">
        <f t="shared" si="7"/>
        <v>0.33000000000000007</v>
      </c>
      <c r="F82" s="500">
        <f t="shared" si="7"/>
        <v>1.6799999999999997</v>
      </c>
      <c r="G82" s="504">
        <f t="shared" si="7"/>
        <v>0.21999999999999997</v>
      </c>
      <c r="H82" s="504">
        <f t="shared" si="7"/>
        <v>0.39</v>
      </c>
      <c r="I82" s="505">
        <f t="shared" si="7"/>
        <v>3.7600000000000002</v>
      </c>
      <c r="J82" s="501">
        <f t="shared" si="7"/>
        <v>-4.6500000000000004</v>
      </c>
      <c r="K82" s="501">
        <f t="shared" si="7"/>
        <v>0.55999999999999994</v>
      </c>
      <c r="L82" s="501">
        <f t="shared" si="7"/>
        <v>0.30000000000000004</v>
      </c>
      <c r="M82" s="501">
        <f t="shared" si="7"/>
        <v>-3.22</v>
      </c>
      <c r="N82" s="501">
        <f t="shared" si="7"/>
        <v>-2.2954369784079951</v>
      </c>
    </row>
    <row r="83" spans="1:14" ht="15" thickBot="1" x14ac:dyDescent="0.25"/>
    <row r="84" spans="1:14" ht="18" x14ac:dyDescent="0.25">
      <c r="A84" s="760" t="s">
        <v>233</v>
      </c>
      <c r="B84" s="761"/>
      <c r="C84" s="761"/>
      <c r="D84" s="761"/>
      <c r="E84" s="761"/>
      <c r="F84" s="761"/>
      <c r="G84" s="761"/>
      <c r="H84" s="761"/>
      <c r="I84" s="761"/>
      <c r="J84" s="761"/>
      <c r="K84" s="761"/>
      <c r="L84" s="761"/>
      <c r="M84" s="761"/>
      <c r="N84" s="762"/>
    </row>
    <row r="85" spans="1:14" ht="15" thickBot="1" x14ac:dyDescent="0.25">
      <c r="A85" s="754" t="s">
        <v>231</v>
      </c>
      <c r="B85" s="755"/>
      <c r="C85" s="755"/>
      <c r="D85" s="755"/>
      <c r="E85" s="755"/>
      <c r="F85" s="755"/>
      <c r="G85" s="755"/>
      <c r="H85" s="755"/>
      <c r="I85" s="755"/>
      <c r="J85" s="755"/>
      <c r="K85" s="755"/>
      <c r="L85" s="755"/>
      <c r="M85" s="755"/>
      <c r="N85" s="756"/>
    </row>
    <row r="86" spans="1:14" ht="16.5" thickBot="1" x14ac:dyDescent="0.25">
      <c r="A86" s="463"/>
      <c r="B86" s="463"/>
      <c r="C86" s="463"/>
      <c r="D86" s="463"/>
      <c r="E86" s="463"/>
      <c r="F86" s="463"/>
      <c r="G86" s="463"/>
      <c r="H86" s="463"/>
      <c r="I86" s="463"/>
      <c r="J86" s="463"/>
      <c r="K86" s="463"/>
      <c r="L86" s="463"/>
      <c r="M86" s="463"/>
      <c r="N86" s="463"/>
    </row>
    <row r="87" spans="1:14" ht="15.75" thickBot="1" x14ac:dyDescent="0.25">
      <c r="A87" s="464" t="s">
        <v>218</v>
      </c>
      <c r="B87" s="465">
        <v>41640</v>
      </c>
      <c r="C87" s="466">
        <v>41671</v>
      </c>
      <c r="D87" s="466">
        <v>41699</v>
      </c>
      <c r="E87" s="466">
        <v>41730</v>
      </c>
      <c r="F87" s="466">
        <v>41760</v>
      </c>
      <c r="G87" s="466">
        <v>41791</v>
      </c>
      <c r="H87" s="466">
        <v>41821</v>
      </c>
      <c r="I87" s="466">
        <v>41852</v>
      </c>
      <c r="J87" s="466">
        <v>41883</v>
      </c>
      <c r="K87" s="466">
        <v>41913</v>
      </c>
      <c r="L87" s="466">
        <v>41944</v>
      </c>
      <c r="M87" s="494">
        <v>41974</v>
      </c>
      <c r="N87" s="495" t="s">
        <v>219</v>
      </c>
    </row>
    <row r="88" spans="1:14" ht="15.75" thickBot="1" x14ac:dyDescent="0.3">
      <c r="A88" s="468" t="s">
        <v>230</v>
      </c>
      <c r="B88" s="502">
        <v>-1.79</v>
      </c>
      <c r="C88" s="496">
        <v>2.1</v>
      </c>
      <c r="D88" s="496">
        <v>2.12</v>
      </c>
      <c r="E88" s="496">
        <v>1.61</v>
      </c>
      <c r="F88" s="496">
        <v>2.78</v>
      </c>
      <c r="G88" s="496">
        <v>0.98</v>
      </c>
      <c r="H88" s="496">
        <v>1.02</v>
      </c>
      <c r="I88" s="496">
        <v>4.4400000000000004</v>
      </c>
      <c r="J88" s="502">
        <v>-3.66</v>
      </c>
      <c r="K88" s="496">
        <v>1.44</v>
      </c>
      <c r="L88" s="496">
        <v>1.33</v>
      </c>
      <c r="M88" s="502">
        <v>-2.1</v>
      </c>
      <c r="N88" s="497">
        <f>((PRODUCT(1+B88/100,1+C88/100,1+D88/100,1+E88/100,1+F88/100,1+G88/100,1+H88/100,1+I88/100,1+J88/100,1+K88/100,1+L88/100,1+M88/100))-1)*100</f>
        <v>10.45453066683244</v>
      </c>
    </row>
    <row r="89" spans="1:14" ht="15.75" thickBot="1" x14ac:dyDescent="0.3">
      <c r="A89" s="474" t="s">
        <v>221</v>
      </c>
      <c r="B89" s="496">
        <v>1.1332</v>
      </c>
      <c r="C89" s="496">
        <v>1.1399999999999999</v>
      </c>
      <c r="D89" s="496">
        <v>1.32</v>
      </c>
      <c r="E89" s="496">
        <v>1.28</v>
      </c>
      <c r="F89" s="496">
        <v>1.1000000000000001</v>
      </c>
      <c r="G89" s="496">
        <v>0.76</v>
      </c>
      <c r="H89" s="496">
        <v>0.63</v>
      </c>
      <c r="I89" s="496">
        <v>0.68</v>
      </c>
      <c r="J89" s="496">
        <v>0.99</v>
      </c>
      <c r="K89" s="496">
        <v>0.88</v>
      </c>
      <c r="L89" s="496">
        <v>1.04</v>
      </c>
      <c r="M89" s="496">
        <v>1.1200000000000001</v>
      </c>
      <c r="N89" s="497">
        <f>((PRODUCT(1+B89/100,1+C89/100,1+D89/100,1+E89/100,1+F89/100,1+G89/100,1+H89/100,1+I89/100,1+J89/100,1+K89/100,1+L89/100,1+M89/100))-1)*100</f>
        <v>12.761127693507813</v>
      </c>
    </row>
    <row r="90" spans="1:14" ht="15.75" thickBot="1" x14ac:dyDescent="0.3">
      <c r="A90" s="474" t="s">
        <v>118</v>
      </c>
      <c r="B90" s="496">
        <v>0.84</v>
      </c>
      <c r="C90" s="496">
        <v>0.78</v>
      </c>
      <c r="D90" s="496">
        <v>0.76</v>
      </c>
      <c r="E90" s="496">
        <v>0.82</v>
      </c>
      <c r="F90" s="496">
        <v>0.57999999999999996</v>
      </c>
      <c r="G90" s="496">
        <v>0.82</v>
      </c>
      <c r="H90" s="496">
        <v>0.94</v>
      </c>
      <c r="I90" s="496">
        <v>0.86</v>
      </c>
      <c r="J90" s="496">
        <v>0.9</v>
      </c>
      <c r="K90" s="496">
        <v>0.94</v>
      </c>
      <c r="L90" s="496">
        <v>0.84</v>
      </c>
      <c r="M90" s="496">
        <v>0.96</v>
      </c>
      <c r="N90" s="497">
        <f>((PRODUCT(1+B90/100,1+C90/100,1+D90/100,1+E90/100,1+F90/100,1+G90/100,1+H90/100,1+I90/100,1+J90/100,1+K90/100,1+L90/100,1+M90/100))-1)*100</f>
        <v>10.514503549384656</v>
      </c>
    </row>
    <row r="91" spans="1:14" ht="15" x14ac:dyDescent="0.25">
      <c r="A91" s="507" t="s">
        <v>222</v>
      </c>
      <c r="B91" s="508">
        <f t="shared" ref="B91:N91" si="8">B88-B89</f>
        <v>-2.9232</v>
      </c>
      <c r="C91" s="509">
        <f t="shared" si="8"/>
        <v>0.96000000000000019</v>
      </c>
      <c r="D91" s="509">
        <f t="shared" si="8"/>
        <v>0.8</v>
      </c>
      <c r="E91" s="509">
        <f t="shared" si="8"/>
        <v>0.33000000000000007</v>
      </c>
      <c r="F91" s="509">
        <f t="shared" si="8"/>
        <v>1.6799999999999997</v>
      </c>
      <c r="G91" s="509">
        <f t="shared" si="8"/>
        <v>0.21999999999999997</v>
      </c>
      <c r="H91" s="509">
        <f t="shared" si="8"/>
        <v>0.39</v>
      </c>
      <c r="I91" s="510">
        <f t="shared" si="8"/>
        <v>3.7600000000000002</v>
      </c>
      <c r="J91" s="508">
        <f t="shared" si="8"/>
        <v>-4.6500000000000004</v>
      </c>
      <c r="K91" s="509">
        <f t="shared" si="8"/>
        <v>0.55999999999999994</v>
      </c>
      <c r="L91" s="509">
        <f t="shared" si="8"/>
        <v>0.29000000000000004</v>
      </c>
      <c r="M91" s="508">
        <f t="shared" si="8"/>
        <v>-3.22</v>
      </c>
      <c r="N91" s="511">
        <f t="shared" si="8"/>
        <v>-2.306597026675373</v>
      </c>
    </row>
    <row r="92" spans="1:14" ht="15" x14ac:dyDescent="0.25">
      <c r="A92" s="512"/>
      <c r="B92" s="513"/>
      <c r="C92" s="514"/>
      <c r="D92" s="514"/>
      <c r="E92" s="514"/>
      <c r="F92" s="514"/>
      <c r="G92" s="514"/>
      <c r="H92" s="514"/>
      <c r="I92" s="515"/>
      <c r="J92" s="513"/>
      <c r="K92" s="514"/>
      <c r="L92" s="514"/>
      <c r="M92" s="513"/>
      <c r="N92" s="516"/>
    </row>
    <row r="93" spans="1:14" ht="15.75" thickBot="1" x14ac:dyDescent="0.3">
      <c r="A93" s="512"/>
      <c r="B93" s="513"/>
      <c r="C93" s="514"/>
      <c r="D93" s="514"/>
      <c r="E93" s="514"/>
      <c r="F93" s="514"/>
      <c r="G93" s="514"/>
      <c r="H93" s="514"/>
      <c r="I93" s="515"/>
      <c r="J93" s="513"/>
      <c r="K93" s="514"/>
      <c r="L93" s="514"/>
      <c r="M93" s="513"/>
      <c r="N93" s="516"/>
    </row>
    <row r="94" spans="1:14" ht="15" x14ac:dyDescent="0.25">
      <c r="A94" s="517"/>
      <c r="B94" s="518">
        <v>41640</v>
      </c>
      <c r="C94" s="518">
        <v>41671</v>
      </c>
      <c r="D94" s="518">
        <v>41699</v>
      </c>
      <c r="E94" s="518">
        <v>41730</v>
      </c>
      <c r="F94" s="518">
        <v>41760</v>
      </c>
      <c r="G94" s="518">
        <v>41791</v>
      </c>
      <c r="H94" s="518">
        <v>41821</v>
      </c>
      <c r="I94" s="518">
        <v>41852</v>
      </c>
      <c r="J94" s="518">
        <v>41883</v>
      </c>
      <c r="K94" s="518">
        <v>41913</v>
      </c>
      <c r="L94" s="518">
        <v>41944</v>
      </c>
      <c r="M94" s="518">
        <v>41974</v>
      </c>
      <c r="N94" s="519">
        <v>2014</v>
      </c>
    </row>
    <row r="95" spans="1:14" ht="15" x14ac:dyDescent="0.25">
      <c r="A95" s="520" t="s">
        <v>235</v>
      </c>
      <c r="B95" s="521">
        <v>-4.4224188260949503E-3</v>
      </c>
      <c r="C95" s="521">
        <v>3.4460060311245912E-2</v>
      </c>
      <c r="D95" s="521">
        <v>1.1315100989743638E-2</v>
      </c>
      <c r="E95" s="521">
        <v>1.971272296281603E-2</v>
      </c>
      <c r="F95" s="521">
        <v>3.2852106670885908E-2</v>
      </c>
      <c r="G95" s="521">
        <v>2.7241728603792452E-3</v>
      </c>
      <c r="H95" s="521">
        <v>1.0089800284305402E-2</v>
      </c>
      <c r="I95" s="521">
        <v>3.6608599442318222E-2</v>
      </c>
      <c r="J95" s="521">
        <v>-2.1766878786865781E-2</v>
      </c>
      <c r="K95" s="521">
        <v>1.7373069259608714E-2</v>
      </c>
      <c r="L95" s="521">
        <v>1.7579233374293544E-2</v>
      </c>
      <c r="M95" s="521">
        <v>-1.1585606067859477E-2</v>
      </c>
      <c r="N95" s="522">
        <v>0.15286241466486894</v>
      </c>
    </row>
    <row r="96" spans="1:14" ht="15" x14ac:dyDescent="0.25">
      <c r="A96" s="520" t="s">
        <v>236</v>
      </c>
      <c r="B96" s="521">
        <v>-1.5340708099999996E-2</v>
      </c>
      <c r="C96" s="521">
        <v>3.34177794E-2</v>
      </c>
      <c r="D96" s="521">
        <v>7.2495290999999989E-3</v>
      </c>
      <c r="E96" s="521">
        <v>1.9373377399999996E-2</v>
      </c>
      <c r="F96" s="521">
        <v>3.2433212399999994E-2</v>
      </c>
      <c r="G96" s="521">
        <v>2.8657609999999997E-3</v>
      </c>
      <c r="H96" s="521">
        <v>1.0709320000000001E-2</v>
      </c>
      <c r="I96" s="521">
        <v>3.6312240099999997E-2</v>
      </c>
      <c r="J96" s="521">
        <v>-2.2032522899999997E-2</v>
      </c>
      <c r="K96" s="521">
        <v>1.7393565900000001E-2</v>
      </c>
      <c r="L96" s="521">
        <v>1.7526105299999997E-2</v>
      </c>
      <c r="M96" s="521">
        <v>-1.0482069199999999E-2</v>
      </c>
      <c r="N96" s="522">
        <v>0.13510639310341221</v>
      </c>
    </row>
    <row r="97" spans="1:14" ht="15" x14ac:dyDescent="0.25">
      <c r="A97" s="520"/>
      <c r="B97" s="523"/>
      <c r="C97" s="523"/>
      <c r="D97" s="523"/>
      <c r="E97" s="523"/>
      <c r="F97" s="523"/>
      <c r="G97" s="523"/>
      <c r="H97" s="523"/>
      <c r="I97" s="523"/>
      <c r="J97" s="523"/>
      <c r="K97" s="523"/>
      <c r="L97" s="523"/>
      <c r="M97" s="523"/>
      <c r="N97" s="524"/>
    </row>
    <row r="98" spans="1:14" ht="15" x14ac:dyDescent="0.25">
      <c r="A98" s="520" t="s">
        <v>237</v>
      </c>
      <c r="B98" s="521">
        <v>-6.7118306294099955E-2</v>
      </c>
      <c r="C98" s="521">
        <v>-1.3555155699738194E-2</v>
      </c>
      <c r="D98" s="521">
        <v>4.9359392666546154E-2</v>
      </c>
      <c r="E98" s="521">
        <v>4.7611522075425268E-3</v>
      </c>
      <c r="F98" s="521">
        <v>1.1098401166746976E-2</v>
      </c>
      <c r="G98" s="521">
        <v>3.2699971359035497E-2</v>
      </c>
      <c r="H98" s="521">
        <v>1.0796739261573774E-2</v>
      </c>
      <c r="I98" s="521">
        <v>6.7293867525709011E-2</v>
      </c>
      <c r="J98" s="521">
        <v>-8.2802774384742969E-2</v>
      </c>
      <c r="K98" s="521">
        <v>4.7175353721988647E-3</v>
      </c>
      <c r="L98" s="521">
        <v>-7.7111299403367266E-4</v>
      </c>
      <c r="M98" s="521">
        <v>-5.092387971332335E-2</v>
      </c>
      <c r="N98" s="522">
        <v>-4.4843261468554774E-2</v>
      </c>
    </row>
    <row r="99" spans="1:14" ht="15" x14ac:dyDescent="0.25">
      <c r="A99" s="520" t="s">
        <v>136</v>
      </c>
      <c r="B99" s="521">
        <v>-7.5116004E-2</v>
      </c>
      <c r="C99" s="521">
        <v>-1.1419455E-2</v>
      </c>
      <c r="D99" s="521">
        <v>7.0497302999999997E-2</v>
      </c>
      <c r="E99" s="521">
        <v>2.4040941E-2</v>
      </c>
      <c r="F99" s="521">
        <v>-7.4962229999999998E-3</v>
      </c>
      <c r="G99" s="521">
        <v>3.7647105E-2</v>
      </c>
      <c r="H99" s="521">
        <v>5.0048901999999999E-2</v>
      </c>
      <c r="I99" s="521">
        <v>9.7780723E-2</v>
      </c>
      <c r="J99" s="521">
        <v>-0.117037593</v>
      </c>
      <c r="K99" s="521">
        <v>9.4798119999999989E-3</v>
      </c>
      <c r="L99" s="521">
        <v>1.6999999999999999E-3</v>
      </c>
      <c r="M99" s="521">
        <v>-8.6196184000000009E-2</v>
      </c>
      <c r="N99" s="522">
        <v>-2.917782760320109E-2</v>
      </c>
    </row>
    <row r="100" spans="1:14" ht="15" x14ac:dyDescent="0.25">
      <c r="A100" s="520"/>
      <c r="B100" s="523"/>
      <c r="C100" s="523"/>
      <c r="D100" s="523"/>
      <c r="E100" s="523"/>
      <c r="F100" s="523"/>
      <c r="G100" s="523"/>
      <c r="H100" s="523"/>
      <c r="I100" s="523"/>
      <c r="J100" s="523"/>
      <c r="K100" s="523"/>
      <c r="L100" s="523"/>
      <c r="M100" s="523"/>
      <c r="N100" s="524"/>
    </row>
    <row r="101" spans="1:14" ht="15" x14ac:dyDescent="0.25">
      <c r="A101" s="520" t="s">
        <v>238</v>
      </c>
      <c r="B101" s="521">
        <v>-1.9356424431751978E-2</v>
      </c>
      <c r="C101" s="521">
        <v>2.325520358670927E-2</v>
      </c>
      <c r="D101" s="521">
        <v>2.0436024963692432E-2</v>
      </c>
      <c r="E101" s="521">
        <v>1.6204932127362348E-2</v>
      </c>
      <c r="F101" s="521">
        <v>2.7768984332215852E-2</v>
      </c>
      <c r="G101" s="521">
        <v>9.8265398402620913E-3</v>
      </c>
      <c r="H101" s="521">
        <v>1.0183541200772901E-2</v>
      </c>
      <c r="I101" s="521">
        <v>4.446503206402562E-2</v>
      </c>
      <c r="J101" s="521">
        <v>-3.6561822531003207E-2</v>
      </c>
      <c r="K101" s="521">
        <v>1.4362116341361352E-2</v>
      </c>
      <c r="L101" s="521">
        <v>1.3304318447451554E-2</v>
      </c>
      <c r="M101" s="521">
        <v>-2.0662025984724306E-2</v>
      </c>
      <c r="N101" s="522">
        <v>0.10506563165359339</v>
      </c>
    </row>
    <row r="102" spans="1:14" ht="15.75" thickBot="1" x14ac:dyDescent="0.3">
      <c r="A102" s="525" t="s">
        <v>239</v>
      </c>
      <c r="B102" s="526">
        <v>1.1198216133904593E-2</v>
      </c>
      <c r="C102" s="526">
        <v>1.1298702888961287E-2</v>
      </c>
      <c r="D102" s="526">
        <v>1.3107464479978903E-2</v>
      </c>
      <c r="E102" s="526">
        <v>1.2705517459752791E-2</v>
      </c>
      <c r="F102" s="526">
        <v>1.0896755868735175E-2</v>
      </c>
      <c r="G102" s="526">
        <v>7.4802061968128886E-3</v>
      </c>
      <c r="H102" s="526">
        <v>6.1738783810780795E-3</v>
      </c>
      <c r="I102" s="526">
        <v>6.6763121563606642E-3</v>
      </c>
      <c r="J102" s="526">
        <v>9.7914015631130891E-3</v>
      </c>
      <c r="K102" s="526">
        <v>8.6860472574914471E-3</v>
      </c>
      <c r="L102" s="526">
        <v>1.0193348583339423E-2</v>
      </c>
      <c r="M102" s="526">
        <v>1.109772937884812E-2</v>
      </c>
      <c r="N102" s="527">
        <v>0.12601965368181944</v>
      </c>
    </row>
    <row r="103" spans="1:14" ht="15" x14ac:dyDescent="0.25">
      <c r="A103" s="512"/>
      <c r="B103" s="513"/>
      <c r="C103" s="514"/>
      <c r="D103" s="514"/>
      <c r="E103" s="514"/>
      <c r="F103" s="514"/>
      <c r="G103" s="514"/>
      <c r="H103" s="514"/>
      <c r="I103" s="515"/>
      <c r="J103" s="513"/>
      <c r="K103" s="514"/>
      <c r="L103" s="514"/>
      <c r="M103" s="513"/>
      <c r="N103" s="516"/>
    </row>
    <row r="104" spans="1:14" ht="18" x14ac:dyDescent="0.25">
      <c r="A104" s="757" t="s">
        <v>240</v>
      </c>
      <c r="B104" s="758"/>
      <c r="C104" s="758"/>
      <c r="D104" s="758"/>
      <c r="E104" s="758"/>
      <c r="F104" s="758"/>
      <c r="G104" s="758"/>
      <c r="H104" s="758"/>
      <c r="I104" s="758"/>
      <c r="J104" s="758"/>
      <c r="K104" s="758"/>
      <c r="L104" s="758"/>
      <c r="M104" s="758"/>
      <c r="N104" s="759"/>
    </row>
    <row r="105" spans="1:14" ht="15.75" thickBot="1" x14ac:dyDescent="0.25">
      <c r="A105" s="754" t="s">
        <v>241</v>
      </c>
      <c r="B105" s="755"/>
      <c r="C105" s="755"/>
      <c r="D105" s="755"/>
      <c r="E105" s="755"/>
      <c r="F105" s="755"/>
      <c r="G105" s="755"/>
      <c r="H105" s="755"/>
      <c r="I105" s="755"/>
      <c r="J105" s="755"/>
      <c r="K105" s="755"/>
      <c r="L105" s="755"/>
      <c r="M105" s="755"/>
      <c r="N105" s="756"/>
    </row>
    <row r="106" spans="1:14" ht="15" thickBot="1" x14ac:dyDescent="0.25"/>
    <row r="107" spans="1:14" ht="15.75" thickBot="1" x14ac:dyDescent="0.25">
      <c r="A107" s="464" t="s">
        <v>218</v>
      </c>
      <c r="B107" s="465">
        <v>42005</v>
      </c>
      <c r="C107" s="465">
        <v>42036</v>
      </c>
      <c r="D107" s="465">
        <v>42064</v>
      </c>
      <c r="E107" s="465">
        <v>42095</v>
      </c>
      <c r="F107" s="465">
        <v>42125</v>
      </c>
      <c r="G107" s="465">
        <v>42156</v>
      </c>
      <c r="H107" s="465">
        <v>42186</v>
      </c>
      <c r="I107" s="465">
        <v>42217</v>
      </c>
      <c r="J107" s="465">
        <v>42248</v>
      </c>
      <c r="K107" s="465">
        <v>42278</v>
      </c>
      <c r="L107" s="465">
        <v>42309</v>
      </c>
      <c r="M107" s="465">
        <v>42339</v>
      </c>
      <c r="N107" s="495" t="s">
        <v>219</v>
      </c>
    </row>
    <row r="108" spans="1:14" ht="15.75" thickBot="1" x14ac:dyDescent="0.3">
      <c r="A108" s="468" t="s">
        <v>230</v>
      </c>
      <c r="B108" s="496">
        <v>0.65</v>
      </c>
      <c r="C108" s="496">
        <v>1.92</v>
      </c>
      <c r="D108" s="496">
        <v>0.54</v>
      </c>
      <c r="E108" s="496">
        <v>1.9</v>
      </c>
      <c r="F108" s="496">
        <v>0.7</v>
      </c>
      <c r="G108" s="496">
        <v>0.56999999999999995</v>
      </c>
      <c r="H108" s="496">
        <v>0.57999999999999996</v>
      </c>
      <c r="I108" s="502">
        <v>-1.93</v>
      </c>
      <c r="J108" s="502">
        <v>-0.03</v>
      </c>
      <c r="K108" s="496">
        <v>2.04</v>
      </c>
      <c r="L108" s="496">
        <v>0.52</v>
      </c>
      <c r="M108" s="496">
        <v>1.75</v>
      </c>
      <c r="N108" s="497">
        <f>((PRODUCT(1+B108/100,1+C108/100,1+D108/100,1+E108/100,1+F108/100,1+G108/100,1+H108/100,1+I108/100,1+J108/100,1+K108/100,1+L108/100,1+M108/100))-1)*100</f>
        <v>9.5365419598078649</v>
      </c>
    </row>
    <row r="109" spans="1:14" ht="15.75" thickBot="1" x14ac:dyDescent="0.3">
      <c r="A109" s="474" t="s">
        <v>221</v>
      </c>
      <c r="B109" s="496">
        <v>1.98</v>
      </c>
      <c r="C109" s="496">
        <v>1.66</v>
      </c>
      <c r="D109" s="496">
        <v>2.0099999999999998</v>
      </c>
      <c r="E109" s="496">
        <v>1.21</v>
      </c>
      <c r="F109" s="496">
        <v>1.24</v>
      </c>
      <c r="G109" s="496">
        <v>1.29</v>
      </c>
      <c r="H109" s="496">
        <v>1.08</v>
      </c>
      <c r="I109" s="496">
        <v>0.75</v>
      </c>
      <c r="J109" s="496">
        <v>1.01</v>
      </c>
      <c r="K109" s="496">
        <v>1.27</v>
      </c>
      <c r="L109" s="496">
        <v>1.61</v>
      </c>
      <c r="M109" s="496">
        <v>1.4</v>
      </c>
      <c r="N109" s="497">
        <f>((PRODUCT(1+B109/100,1+C109/100,1+D109/100,1+E109/100,1+F109/100,1+G109/100,1+H109/100,1+I109/100,1+J109/100,1+K109/100,1+L109/100,1+M109/100))-1)*100</f>
        <v>17.809379493600819</v>
      </c>
    </row>
    <row r="110" spans="1:14" ht="15.75" thickBot="1" x14ac:dyDescent="0.3">
      <c r="A110" s="474" t="s">
        <v>118</v>
      </c>
      <c r="B110" s="496">
        <v>0.93</v>
      </c>
      <c r="C110" s="496">
        <v>0.82</v>
      </c>
      <c r="D110" s="496">
        <v>1.04</v>
      </c>
      <c r="E110" s="496">
        <v>0.95</v>
      </c>
      <c r="F110" s="496">
        <v>0.98</v>
      </c>
      <c r="G110" s="496">
        <v>1.07</v>
      </c>
      <c r="H110" s="496">
        <v>1.18</v>
      </c>
      <c r="I110" s="496">
        <v>1.1100000000000001</v>
      </c>
      <c r="J110" s="496">
        <v>1.1100000000000001</v>
      </c>
      <c r="K110" s="496">
        <v>1.1100000000000001</v>
      </c>
      <c r="L110" s="496">
        <v>1.06</v>
      </c>
      <c r="M110" s="496">
        <v>1.1599999999999999</v>
      </c>
      <c r="N110" s="497">
        <f>((PRODUCT(1+B110/100,1+C110/100,1+D110/100,1+E110/100,1+F110/100,1+G110/100,1+H110/100,1+I110/100,1+J110/100,1+K110/100,1+L110/100,1+M110/100))-1)*100</f>
        <v>13.263344108432683</v>
      </c>
    </row>
    <row r="111" spans="1:14" ht="15.75" thickBot="1" x14ac:dyDescent="0.3">
      <c r="A111" s="503" t="s">
        <v>222</v>
      </c>
      <c r="B111" s="501">
        <f t="shared" ref="B111:N111" si="9">B108-B109</f>
        <v>-1.33</v>
      </c>
      <c r="C111" s="500">
        <f t="shared" si="9"/>
        <v>0.26</v>
      </c>
      <c r="D111" s="501">
        <f t="shared" si="9"/>
        <v>-1.4699999999999998</v>
      </c>
      <c r="E111" s="500">
        <f t="shared" si="9"/>
        <v>0.69</v>
      </c>
      <c r="F111" s="501">
        <f t="shared" si="9"/>
        <v>-0.54</v>
      </c>
      <c r="G111" s="501">
        <f t="shared" si="9"/>
        <v>-0.72000000000000008</v>
      </c>
      <c r="H111" s="501">
        <f t="shared" si="9"/>
        <v>-0.50000000000000011</v>
      </c>
      <c r="I111" s="501">
        <f t="shared" si="9"/>
        <v>-2.6799999999999997</v>
      </c>
      <c r="J111" s="501">
        <f t="shared" si="9"/>
        <v>-1.04</v>
      </c>
      <c r="K111" s="500">
        <f t="shared" si="9"/>
        <v>0.77</v>
      </c>
      <c r="L111" s="501">
        <f t="shared" si="9"/>
        <v>-1.0900000000000001</v>
      </c>
      <c r="M111" s="500">
        <f t="shared" si="9"/>
        <v>0.35000000000000009</v>
      </c>
      <c r="N111" s="501">
        <f t="shared" si="9"/>
        <v>-8.2728375337929538</v>
      </c>
    </row>
    <row r="112" spans="1:14" ht="15" thickBot="1" x14ac:dyDescent="0.25"/>
    <row r="113" spans="1:14" ht="18" x14ac:dyDescent="0.25">
      <c r="A113" s="760" t="s">
        <v>233</v>
      </c>
      <c r="B113" s="761"/>
      <c r="C113" s="761"/>
      <c r="D113" s="761"/>
      <c r="E113" s="761"/>
      <c r="F113" s="761"/>
      <c r="G113" s="761"/>
      <c r="H113" s="761"/>
      <c r="I113" s="761"/>
      <c r="J113" s="761"/>
      <c r="K113" s="761"/>
      <c r="L113" s="761"/>
      <c r="M113" s="761"/>
      <c r="N113" s="762"/>
    </row>
    <row r="114" spans="1:14" ht="15" thickBot="1" x14ac:dyDescent="0.25">
      <c r="A114" s="754" t="s">
        <v>231</v>
      </c>
      <c r="B114" s="755"/>
      <c r="C114" s="755"/>
      <c r="D114" s="755"/>
      <c r="E114" s="755"/>
      <c r="F114" s="755"/>
      <c r="G114" s="755"/>
      <c r="H114" s="755"/>
      <c r="I114" s="755"/>
      <c r="J114" s="755"/>
      <c r="K114" s="755"/>
      <c r="L114" s="755"/>
      <c r="M114" s="755"/>
      <c r="N114" s="756"/>
    </row>
    <row r="115" spans="1:14" ht="16.5" thickBot="1" x14ac:dyDescent="0.25">
      <c r="A115" s="463"/>
      <c r="B115" s="463"/>
      <c r="C115" s="463"/>
      <c r="D115" s="463"/>
      <c r="E115" s="463"/>
      <c r="F115" s="463"/>
      <c r="G115" s="463"/>
      <c r="H115" s="463"/>
      <c r="I115" s="463"/>
      <c r="J115" s="463"/>
      <c r="K115" s="463"/>
      <c r="L115" s="463"/>
      <c r="M115" s="463"/>
      <c r="N115" s="463"/>
    </row>
    <row r="116" spans="1:14" ht="15.75" thickBot="1" x14ac:dyDescent="0.25">
      <c r="A116" s="464" t="s">
        <v>218</v>
      </c>
      <c r="B116" s="465">
        <v>42005</v>
      </c>
      <c r="C116" s="466">
        <v>42036</v>
      </c>
      <c r="D116" s="466">
        <v>42064</v>
      </c>
      <c r="E116" s="466">
        <v>42095</v>
      </c>
      <c r="F116" s="466">
        <v>42125</v>
      </c>
      <c r="G116" s="466">
        <v>42156</v>
      </c>
      <c r="H116" s="466">
        <v>42186</v>
      </c>
      <c r="I116" s="466">
        <v>42217</v>
      </c>
      <c r="J116" s="466">
        <v>42248</v>
      </c>
      <c r="K116" s="466">
        <v>42278</v>
      </c>
      <c r="L116" s="466">
        <v>42309</v>
      </c>
      <c r="M116" s="494">
        <v>42339</v>
      </c>
      <c r="N116" s="495" t="s">
        <v>219</v>
      </c>
    </row>
    <row r="117" spans="1:14" ht="15.75" thickBot="1" x14ac:dyDescent="0.3">
      <c r="A117" s="468" t="s">
        <v>230</v>
      </c>
      <c r="B117" s="496">
        <v>0.65</v>
      </c>
      <c r="C117" s="496">
        <v>1.92</v>
      </c>
      <c r="D117" s="496">
        <v>0.54</v>
      </c>
      <c r="E117" s="496">
        <v>1.9</v>
      </c>
      <c r="F117" s="496">
        <v>0.7</v>
      </c>
      <c r="G117" s="496">
        <v>0.56999999999999995</v>
      </c>
      <c r="H117" s="496">
        <v>0.57999999999999996</v>
      </c>
      <c r="I117" s="502">
        <v>-1.93</v>
      </c>
      <c r="J117" s="502">
        <v>-0.03</v>
      </c>
      <c r="K117" s="496">
        <v>2.04</v>
      </c>
      <c r="L117" s="496">
        <v>0.52</v>
      </c>
      <c r="M117" s="496">
        <v>1.75</v>
      </c>
      <c r="N117" s="497">
        <f>((PRODUCT(1+B117/100,1+C117/100,1+D117/100,1+E117/100,1+F117/100,1+G117/100,1+H117/100,1+I117/100,1+J117/100,1+K117/100,1+L117/100,1+M117/100))-1)*100</f>
        <v>9.5365419598078649</v>
      </c>
    </row>
    <row r="118" spans="1:14" ht="15.75" thickBot="1" x14ac:dyDescent="0.3">
      <c r="A118" s="474" t="s">
        <v>221</v>
      </c>
      <c r="B118" s="496">
        <v>1.98</v>
      </c>
      <c r="C118" s="496">
        <v>1.66</v>
      </c>
      <c r="D118" s="496">
        <v>2.0099999999999998</v>
      </c>
      <c r="E118" s="496">
        <v>1.21</v>
      </c>
      <c r="F118" s="496">
        <v>1.24</v>
      </c>
      <c r="G118" s="496">
        <v>1.29</v>
      </c>
      <c r="H118" s="496">
        <v>1.08</v>
      </c>
      <c r="I118" s="496">
        <v>0.75</v>
      </c>
      <c r="J118" s="496">
        <v>1.01</v>
      </c>
      <c r="K118" s="496">
        <v>1.27</v>
      </c>
      <c r="L118" s="496">
        <v>1.61</v>
      </c>
      <c r="M118" s="496">
        <v>1.4</v>
      </c>
      <c r="N118" s="497">
        <f>((PRODUCT(1+B118/100,1+C118/100,1+D118/100,1+E118/100,1+F118/100,1+G118/100,1+H118/100,1+I118/100,1+J118/100,1+K118/100,1+L118/100,1+M118/100))-1)*100</f>
        <v>17.809379493600819</v>
      </c>
    </row>
    <row r="119" spans="1:14" ht="15.75" thickBot="1" x14ac:dyDescent="0.3">
      <c r="A119" s="474" t="s">
        <v>118</v>
      </c>
      <c r="B119" s="496">
        <v>0.93</v>
      </c>
      <c r="C119" s="496">
        <v>0.82</v>
      </c>
      <c r="D119" s="496">
        <v>1.04</v>
      </c>
      <c r="E119" s="496">
        <v>0.95</v>
      </c>
      <c r="F119" s="496">
        <v>0.98</v>
      </c>
      <c r="G119" s="496">
        <v>1.07</v>
      </c>
      <c r="H119" s="496">
        <v>1.18</v>
      </c>
      <c r="I119" s="496">
        <v>1.1100000000000001</v>
      </c>
      <c r="J119" s="496">
        <v>1.1100000000000001</v>
      </c>
      <c r="K119" s="496">
        <v>1.1100000000000001</v>
      </c>
      <c r="L119" s="496">
        <v>1.06</v>
      </c>
      <c r="M119" s="496">
        <v>1.1599999999999999</v>
      </c>
      <c r="N119" s="497">
        <f>((PRODUCT(1+B119/100,1+C119/100,1+D119/100,1+E119/100,1+F119/100,1+G119/100,1+H119/100,1+I119/100,1+J119/100,1+K119/100,1+L119/100,1+M119/100))-1)*100</f>
        <v>13.263344108432683</v>
      </c>
    </row>
    <row r="120" spans="1:14" ht="15.75" thickBot="1" x14ac:dyDescent="0.3">
      <c r="A120" s="479" t="s">
        <v>222</v>
      </c>
      <c r="B120" s="499">
        <f t="shared" ref="B120:N120" si="10">B117-B118</f>
        <v>-1.33</v>
      </c>
      <c r="C120" s="498">
        <f t="shared" si="10"/>
        <v>0.26</v>
      </c>
      <c r="D120" s="499">
        <f t="shared" si="10"/>
        <v>-1.4699999999999998</v>
      </c>
      <c r="E120" s="498">
        <f t="shared" si="10"/>
        <v>0.69</v>
      </c>
      <c r="F120" s="499">
        <f t="shared" si="10"/>
        <v>-0.54</v>
      </c>
      <c r="G120" s="499">
        <f t="shared" si="10"/>
        <v>-0.72000000000000008</v>
      </c>
      <c r="H120" s="499">
        <f t="shared" si="10"/>
        <v>-0.50000000000000011</v>
      </c>
      <c r="I120" s="499">
        <f t="shared" si="10"/>
        <v>-2.6799999999999997</v>
      </c>
      <c r="J120" s="499">
        <f t="shared" si="10"/>
        <v>-1.04</v>
      </c>
      <c r="K120" s="498">
        <f t="shared" si="10"/>
        <v>0.77</v>
      </c>
      <c r="L120" s="499">
        <f t="shared" si="10"/>
        <v>-1.0900000000000001</v>
      </c>
      <c r="M120" s="498">
        <f t="shared" si="10"/>
        <v>0.35000000000000009</v>
      </c>
      <c r="N120" s="501">
        <f t="shared" si="10"/>
        <v>-8.2728375337929538</v>
      </c>
    </row>
    <row r="121" spans="1:14" s="528" customFormat="1" ht="15" x14ac:dyDescent="0.25">
      <c r="A121" s="512"/>
      <c r="B121" s="513"/>
      <c r="C121" s="514"/>
      <c r="D121" s="514"/>
      <c r="E121" s="514"/>
      <c r="F121" s="514"/>
      <c r="G121" s="514"/>
      <c r="H121" s="514"/>
      <c r="I121" s="515"/>
      <c r="J121" s="513"/>
      <c r="K121" s="514"/>
      <c r="L121" s="514"/>
      <c r="M121" s="513"/>
      <c r="N121" s="516"/>
    </row>
    <row r="122" spans="1:14" s="528" customFormat="1" ht="15" x14ac:dyDescent="0.25">
      <c r="A122" s="512"/>
      <c r="B122" s="513"/>
      <c r="C122" s="514"/>
      <c r="D122" s="514"/>
      <c r="E122" s="514"/>
      <c r="F122" s="514"/>
      <c r="G122" s="514"/>
      <c r="H122" s="514"/>
      <c r="I122" s="515"/>
      <c r="J122" s="513"/>
      <c r="K122" s="514"/>
      <c r="L122" s="514"/>
      <c r="M122" s="513"/>
      <c r="N122" s="516"/>
    </row>
    <row r="123" spans="1:14" s="528" customFormat="1" ht="15" x14ac:dyDescent="0.25">
      <c r="A123" s="512"/>
      <c r="B123" s="513"/>
      <c r="C123" s="514"/>
      <c r="D123" s="514"/>
      <c r="E123" s="514"/>
      <c r="F123" s="514"/>
      <c r="G123" s="514"/>
      <c r="H123" s="514"/>
      <c r="I123" s="515"/>
      <c r="J123" s="513"/>
      <c r="K123" s="514"/>
      <c r="L123" s="514"/>
      <c r="M123" s="513"/>
      <c r="N123" s="516"/>
    </row>
    <row r="124" spans="1:14" ht="18" x14ac:dyDescent="0.25">
      <c r="A124" s="757" t="s">
        <v>242</v>
      </c>
      <c r="B124" s="758"/>
      <c r="C124" s="758"/>
      <c r="D124" s="758"/>
      <c r="E124" s="758"/>
      <c r="F124" s="758"/>
      <c r="G124" s="758"/>
      <c r="H124" s="758"/>
      <c r="I124" s="758"/>
      <c r="J124" s="758"/>
      <c r="K124" s="758"/>
      <c r="L124" s="758"/>
      <c r="M124" s="758"/>
      <c r="N124" s="759"/>
    </row>
    <row r="125" spans="1:14" ht="15.75" thickBot="1" x14ac:dyDescent="0.25">
      <c r="A125" s="754" t="s">
        <v>241</v>
      </c>
      <c r="B125" s="755"/>
      <c r="C125" s="755"/>
      <c r="D125" s="755"/>
      <c r="E125" s="755"/>
      <c r="F125" s="755"/>
      <c r="G125" s="755"/>
      <c r="H125" s="755"/>
      <c r="I125" s="755"/>
      <c r="J125" s="755"/>
      <c r="K125" s="755"/>
      <c r="L125" s="755"/>
      <c r="M125" s="755"/>
      <c r="N125" s="756"/>
    </row>
    <row r="126" spans="1:14" ht="15" thickBot="1" x14ac:dyDescent="0.25"/>
    <row r="127" spans="1:14" ht="15.75" thickBot="1" x14ac:dyDescent="0.25">
      <c r="A127" s="464" t="s">
        <v>218</v>
      </c>
      <c r="B127" s="465">
        <v>42370</v>
      </c>
      <c r="C127" s="465">
        <v>42401</v>
      </c>
      <c r="D127" s="465">
        <v>42430</v>
      </c>
      <c r="E127" s="465">
        <v>42461</v>
      </c>
      <c r="F127" s="465">
        <v>42491</v>
      </c>
      <c r="G127" s="465">
        <v>42522</v>
      </c>
      <c r="H127" s="465">
        <v>42552</v>
      </c>
      <c r="I127" s="465">
        <v>42583</v>
      </c>
      <c r="J127" s="465">
        <v>42614</v>
      </c>
      <c r="K127" s="465">
        <v>42644</v>
      </c>
      <c r="L127" s="465">
        <v>42675</v>
      </c>
      <c r="M127" s="465">
        <v>42705</v>
      </c>
      <c r="N127" s="495" t="s">
        <v>219</v>
      </c>
    </row>
    <row r="128" spans="1:14" ht="15.75" thickBot="1" x14ac:dyDescent="0.3">
      <c r="A128" s="468" t="s">
        <v>230</v>
      </c>
      <c r="B128" s="496">
        <v>2.0699999999999998</v>
      </c>
      <c r="C128" s="496">
        <v>1.89</v>
      </c>
      <c r="D128" s="496">
        <v>3.24</v>
      </c>
      <c r="E128" s="496">
        <v>2.66</v>
      </c>
      <c r="F128" s="502">
        <v>-0.72</v>
      </c>
      <c r="G128" s="496">
        <v>1.54</v>
      </c>
      <c r="H128" s="496">
        <v>2.72</v>
      </c>
      <c r="I128" s="496">
        <v>1.04</v>
      </c>
      <c r="J128" s="496">
        <v>1.46</v>
      </c>
      <c r="K128" s="496">
        <v>2.1</v>
      </c>
      <c r="L128" s="502">
        <v>-1.22</v>
      </c>
      <c r="M128" s="496">
        <v>2.27</v>
      </c>
      <c r="N128" s="497">
        <f>((PRODUCT(1+B128/100,1+C128/100,1+D128/100,1+E128/100,1+F128/100,1+G128/100,1+H128/100,1+I128/100,1+J128/100,1+K128/100,1+L128/100,1+M128/100))-1)*100</f>
        <v>20.687998918990491</v>
      </c>
    </row>
    <row r="129" spans="1:17" ht="15.75" thickBot="1" x14ac:dyDescent="0.3">
      <c r="A129" s="474" t="s">
        <v>221</v>
      </c>
      <c r="B129" s="496">
        <v>2</v>
      </c>
      <c r="C129" s="496">
        <v>1.44</v>
      </c>
      <c r="D129" s="496">
        <v>0.93</v>
      </c>
      <c r="E129" s="496">
        <v>1.1299999999999999</v>
      </c>
      <c r="F129" s="496">
        <v>1.47</v>
      </c>
      <c r="G129" s="496">
        <v>0.97</v>
      </c>
      <c r="H129" s="496">
        <v>1.1299999999999999</v>
      </c>
      <c r="I129" s="496">
        <v>0.81</v>
      </c>
      <c r="J129" s="496">
        <v>0.56999999999999995</v>
      </c>
      <c r="K129" s="496">
        <v>0.66</v>
      </c>
      <c r="L129" s="496">
        <v>0.56000000000000005</v>
      </c>
      <c r="M129" s="496">
        <v>0.63</v>
      </c>
      <c r="N129" s="497">
        <f>((PRODUCT(1+B129/100,1+C129/100,1+D129/100,1+E129/100,1+F129/100,1+G129/100,1+H129/100,1+I129/100,1+J129/100,1+K129/100,1+L129/100,1+M129/100))-1)*100</f>
        <v>13.005984963440431</v>
      </c>
    </row>
    <row r="130" spans="1:17" ht="15.75" thickBot="1" x14ac:dyDescent="0.3">
      <c r="A130" s="474" t="s">
        <v>118</v>
      </c>
      <c r="B130" s="496">
        <v>1.05</v>
      </c>
      <c r="C130" s="496">
        <v>1</v>
      </c>
      <c r="D130" s="496">
        <v>1.1599999999999999</v>
      </c>
      <c r="E130" s="496">
        <v>1.05</v>
      </c>
      <c r="F130" s="496">
        <v>1.1100000000000001</v>
      </c>
      <c r="G130" s="496">
        <v>1.1599999999999999</v>
      </c>
      <c r="H130" s="496">
        <v>1.1100000000000001</v>
      </c>
      <c r="I130" s="496">
        <v>1.21</v>
      </c>
      <c r="J130" s="496">
        <v>1.1100000000000001</v>
      </c>
      <c r="K130" s="496">
        <v>1.05</v>
      </c>
      <c r="L130" s="496">
        <v>1.05</v>
      </c>
      <c r="M130" s="496">
        <v>1.1200000000000001</v>
      </c>
      <c r="N130" s="497">
        <f>((PRODUCT(1+B130/100,1+C130/100,1+D130/100,1+E130/100,1+F130/100,1+G130/100,1+H130/100,1+I130/100,1+J130/100,1+K130/100,1+L130/100,1+M130/100))-1)*100</f>
        <v>14.005841223399607</v>
      </c>
    </row>
    <row r="131" spans="1:17" ht="15.75" thickBot="1" x14ac:dyDescent="0.3">
      <c r="A131" s="503" t="s">
        <v>222</v>
      </c>
      <c r="B131" s="501">
        <f t="shared" ref="B131:N131" si="11">B128-B129</f>
        <v>6.999999999999984E-2</v>
      </c>
      <c r="C131" s="500">
        <f t="shared" si="11"/>
        <v>0.44999999999999996</v>
      </c>
      <c r="D131" s="501">
        <f t="shared" si="11"/>
        <v>2.31</v>
      </c>
      <c r="E131" s="500">
        <f t="shared" si="11"/>
        <v>1.5300000000000002</v>
      </c>
      <c r="F131" s="501">
        <f t="shared" si="11"/>
        <v>-2.19</v>
      </c>
      <c r="G131" s="529">
        <f t="shared" si="11"/>
        <v>0.57000000000000006</v>
      </c>
      <c r="H131" s="529">
        <f t="shared" si="11"/>
        <v>1.5900000000000003</v>
      </c>
      <c r="I131" s="529">
        <f t="shared" si="11"/>
        <v>0.22999999999999998</v>
      </c>
      <c r="J131" s="529">
        <f t="shared" si="11"/>
        <v>0.89</v>
      </c>
      <c r="K131" s="529">
        <f t="shared" si="11"/>
        <v>1.44</v>
      </c>
      <c r="L131" s="501">
        <f t="shared" si="11"/>
        <v>-1.78</v>
      </c>
      <c r="M131" s="500">
        <f t="shared" si="11"/>
        <v>1.6400000000000001</v>
      </c>
      <c r="N131" s="530">
        <f t="shared" si="11"/>
        <v>7.6820139555500599</v>
      </c>
    </row>
    <row r="132" spans="1:17" ht="15" thickBot="1" x14ac:dyDescent="0.25"/>
    <row r="133" spans="1:17" ht="18" x14ac:dyDescent="0.25">
      <c r="A133" s="760" t="s">
        <v>233</v>
      </c>
      <c r="B133" s="761"/>
      <c r="C133" s="761"/>
      <c r="D133" s="761"/>
      <c r="E133" s="761"/>
      <c r="F133" s="761"/>
      <c r="G133" s="761"/>
      <c r="H133" s="761"/>
      <c r="I133" s="761"/>
      <c r="J133" s="761"/>
      <c r="K133" s="761"/>
      <c r="L133" s="761"/>
      <c r="M133" s="761"/>
      <c r="N133" s="762"/>
    </row>
    <row r="134" spans="1:17" ht="15" thickBot="1" x14ac:dyDescent="0.25">
      <c r="A134" s="754" t="s">
        <v>231</v>
      </c>
      <c r="B134" s="755"/>
      <c r="C134" s="755"/>
      <c r="D134" s="755"/>
      <c r="E134" s="755"/>
      <c r="F134" s="755"/>
      <c r="G134" s="755"/>
      <c r="H134" s="755"/>
      <c r="I134" s="755"/>
      <c r="J134" s="755"/>
      <c r="K134" s="755"/>
      <c r="L134" s="755"/>
      <c r="M134" s="755"/>
      <c r="N134" s="756"/>
    </row>
    <row r="135" spans="1:17" ht="16.5" thickBot="1" x14ac:dyDescent="0.25">
      <c r="A135" s="463"/>
      <c r="B135" s="463"/>
      <c r="C135" s="463"/>
      <c r="D135" s="463"/>
      <c r="E135" s="463"/>
      <c r="F135" s="463"/>
      <c r="G135" s="463"/>
      <c r="H135" s="463"/>
      <c r="I135" s="463"/>
      <c r="J135" s="463"/>
      <c r="K135" s="463"/>
      <c r="L135" s="463"/>
      <c r="M135" s="463"/>
      <c r="N135" s="463"/>
    </row>
    <row r="136" spans="1:17" ht="15.75" thickBot="1" x14ac:dyDescent="0.25">
      <c r="A136" s="464" t="s">
        <v>218</v>
      </c>
      <c r="B136" s="465">
        <v>42370</v>
      </c>
      <c r="C136" s="466">
        <v>42401</v>
      </c>
      <c r="D136" s="466">
        <v>42430</v>
      </c>
      <c r="E136" s="466">
        <v>42461</v>
      </c>
      <c r="F136" s="466">
        <v>42491</v>
      </c>
      <c r="G136" s="466">
        <v>42522</v>
      </c>
      <c r="H136" s="466">
        <v>42552</v>
      </c>
      <c r="I136" s="466">
        <v>42583</v>
      </c>
      <c r="J136" s="466">
        <v>42614</v>
      </c>
      <c r="K136" s="466">
        <v>42644</v>
      </c>
      <c r="L136" s="466">
        <v>42675</v>
      </c>
      <c r="M136" s="494">
        <v>42705</v>
      </c>
      <c r="N136" s="495" t="s">
        <v>219</v>
      </c>
    </row>
    <row r="137" spans="1:17" ht="15.75" thickBot="1" x14ac:dyDescent="0.3">
      <c r="A137" s="468" t="s">
        <v>230</v>
      </c>
      <c r="B137" s="496">
        <v>2.0699999999999998</v>
      </c>
      <c r="C137" s="496">
        <v>1.89</v>
      </c>
      <c r="D137" s="496">
        <v>3.24</v>
      </c>
      <c r="E137" s="496">
        <v>2.66</v>
      </c>
      <c r="F137" s="502">
        <v>-0.72</v>
      </c>
      <c r="G137" s="496">
        <v>1.54</v>
      </c>
      <c r="H137" s="496">
        <v>2.72</v>
      </c>
      <c r="I137" s="496">
        <v>1.04</v>
      </c>
      <c r="J137" s="496">
        <v>1.46</v>
      </c>
      <c r="K137" s="496">
        <v>2.1</v>
      </c>
      <c r="L137" s="502">
        <v>-1.22</v>
      </c>
      <c r="M137" s="496">
        <v>2.27</v>
      </c>
      <c r="N137" s="497">
        <f>((PRODUCT(1+B137/100,1+C137/100,1+D137/100,1+E137/100,1+F137/100,1+G137/100,1+H137/100,1+I137/100,1+J137/100,1+K137/100,1+L137/100,1+M137/100))-1)*100</f>
        <v>20.687998918990491</v>
      </c>
    </row>
    <row r="138" spans="1:17" ht="15.75" thickBot="1" x14ac:dyDescent="0.3">
      <c r="A138" s="474" t="s">
        <v>221</v>
      </c>
      <c r="B138" s="496">
        <v>2</v>
      </c>
      <c r="C138" s="496">
        <v>1.44</v>
      </c>
      <c r="D138" s="496">
        <v>0.93</v>
      </c>
      <c r="E138" s="496">
        <v>1.1299999999999999</v>
      </c>
      <c r="F138" s="496">
        <v>1.47</v>
      </c>
      <c r="G138" s="496">
        <v>0.96</v>
      </c>
      <c r="H138" s="496">
        <v>1.1299999999999999</v>
      </c>
      <c r="I138" s="496">
        <v>0.8</v>
      </c>
      <c r="J138" s="496">
        <v>0.56999999999999995</v>
      </c>
      <c r="K138" s="496">
        <v>0.66</v>
      </c>
      <c r="L138" s="496">
        <v>0.56000000000000005</v>
      </c>
      <c r="M138" s="496">
        <v>0.63</v>
      </c>
      <c r="N138" s="497">
        <f>((PRODUCT(1+B138/100,1+C138/100,1+D138/100,1+E138/100,1+F138/100,1+G138/100,1+H138/100,1+I138/100,1+J138/100,1+K138/100,1+L138/100,1+M138/100))-1)*100</f>
        <v>12.983584238778256</v>
      </c>
    </row>
    <row r="139" spans="1:17" ht="15.75" thickBot="1" x14ac:dyDescent="0.3">
      <c r="A139" s="474" t="s">
        <v>118</v>
      </c>
      <c r="B139" s="496">
        <v>1.05</v>
      </c>
      <c r="C139" s="496">
        <v>1</v>
      </c>
      <c r="D139" s="496">
        <v>1.1599999999999999</v>
      </c>
      <c r="E139" s="496">
        <v>1.05</v>
      </c>
      <c r="F139" s="496">
        <v>1.1100000000000001</v>
      </c>
      <c r="G139" s="496">
        <v>1.1599999999999999</v>
      </c>
      <c r="H139" s="496">
        <v>1.1100000000000001</v>
      </c>
      <c r="I139" s="496">
        <v>1.21</v>
      </c>
      <c r="J139" s="496">
        <v>1.1100000000000001</v>
      </c>
      <c r="K139" s="496">
        <v>1.05</v>
      </c>
      <c r="L139" s="496">
        <v>1.05</v>
      </c>
      <c r="M139" s="496">
        <v>1.1200000000000001</v>
      </c>
      <c r="N139" s="497">
        <f>((PRODUCT(1+B139/100,1+C139/100,1+D139/100,1+E139/100,1+F139/100,1+G139/100,1+H139/100,1+I139/100,1+J139/100,1+K139/100,1+L139/100,1+M139/100))-1)*100</f>
        <v>14.005841223399607</v>
      </c>
    </row>
    <row r="140" spans="1:17" ht="15.75" thickBot="1" x14ac:dyDescent="0.3">
      <c r="A140" s="479" t="s">
        <v>222</v>
      </c>
      <c r="B140" s="499">
        <f t="shared" ref="B140:N140" si="12">B137-B138</f>
        <v>6.999999999999984E-2</v>
      </c>
      <c r="C140" s="498">
        <f t="shared" si="12"/>
        <v>0.44999999999999996</v>
      </c>
      <c r="D140" s="531">
        <f t="shared" si="12"/>
        <v>2.31</v>
      </c>
      <c r="E140" s="498">
        <f t="shared" si="12"/>
        <v>1.5300000000000002</v>
      </c>
      <c r="F140" s="499">
        <f t="shared" si="12"/>
        <v>-2.19</v>
      </c>
      <c r="G140" s="532">
        <f t="shared" si="12"/>
        <v>0.58000000000000007</v>
      </c>
      <c r="H140" s="532">
        <f t="shared" si="12"/>
        <v>1.5900000000000003</v>
      </c>
      <c r="I140" s="532">
        <f t="shared" si="12"/>
        <v>0.24</v>
      </c>
      <c r="J140" s="532">
        <f t="shared" si="12"/>
        <v>0.89</v>
      </c>
      <c r="K140" s="532">
        <f t="shared" si="12"/>
        <v>1.44</v>
      </c>
      <c r="L140" s="499">
        <f t="shared" si="12"/>
        <v>-1.78</v>
      </c>
      <c r="M140" s="500">
        <f t="shared" si="12"/>
        <v>1.6400000000000001</v>
      </c>
      <c r="N140" s="530">
        <f t="shared" si="12"/>
        <v>7.7044146802122349</v>
      </c>
    </row>
    <row r="141" spans="1:17" ht="15" x14ac:dyDescent="0.25">
      <c r="A141" s="533"/>
      <c r="B141" s="534"/>
      <c r="C141" s="535"/>
      <c r="D141" s="536"/>
      <c r="E141" s="535"/>
      <c r="F141" s="534"/>
      <c r="G141" s="537"/>
      <c r="H141" s="537"/>
      <c r="I141" s="537"/>
      <c r="J141" s="537"/>
      <c r="K141" s="537"/>
      <c r="L141" s="534"/>
      <c r="M141" s="538"/>
      <c r="N141" s="539"/>
    </row>
    <row r="142" spans="1:17" ht="15" x14ac:dyDescent="0.25">
      <c r="A142" s="533"/>
      <c r="B142" s="534"/>
      <c r="C142" s="535"/>
      <c r="D142" s="536"/>
      <c r="E142" s="535"/>
      <c r="F142" s="534"/>
      <c r="G142" s="537"/>
      <c r="H142" s="537"/>
      <c r="I142" s="537"/>
      <c r="J142" s="537"/>
      <c r="K142" s="537"/>
      <c r="L142" s="534"/>
      <c r="M142" s="538"/>
      <c r="N142" s="539"/>
    </row>
    <row r="143" spans="1:17" ht="15" x14ac:dyDescent="0.25">
      <c r="A143" s="474" t="s">
        <v>221</v>
      </c>
      <c r="B143" s="475">
        <v>0.02</v>
      </c>
      <c r="C143" s="475">
        <v>1.44E-2</v>
      </c>
      <c r="D143" s="475">
        <v>9.2999999999999992E-3</v>
      </c>
      <c r="E143" s="475">
        <v>1.1299999999999999E-2</v>
      </c>
      <c r="F143" s="475">
        <v>1.47E-2</v>
      </c>
      <c r="G143" s="475">
        <v>9.7000000000000003E-3</v>
      </c>
      <c r="H143" s="475">
        <v>1.1299999999999999E-2</v>
      </c>
      <c r="I143" s="475">
        <v>8.0999999999999996E-3</v>
      </c>
      <c r="J143" s="475">
        <v>5.7000000000000002E-3</v>
      </c>
      <c r="K143" s="475">
        <v>6.6E-3</v>
      </c>
      <c r="L143" s="475">
        <v>5.5999999999999999E-3</v>
      </c>
      <c r="M143" s="475">
        <v>8.0000000000000002E-3</v>
      </c>
      <c r="N143" s="477">
        <f>(1+B143)*(1+C143)*(1+D143)*(1+E143)*(1+F143)*(1+G143)*(1+H143)*(1+I143)*(1+J143)*(1+K143)*(1+L143)*(1+M143)-1</f>
        <v>0.13196892420896322</v>
      </c>
      <c r="Q143" s="478">
        <v>5.0000000000000001E-3</v>
      </c>
    </row>
    <row r="144" spans="1:17" ht="15" x14ac:dyDescent="0.25">
      <c r="A144" s="540"/>
      <c r="B144" s="541"/>
      <c r="C144" s="541"/>
      <c r="D144" s="541"/>
      <c r="E144" s="541"/>
      <c r="F144" s="541"/>
      <c r="G144" s="541"/>
      <c r="H144" s="541"/>
      <c r="I144" s="541"/>
      <c r="J144" s="541"/>
      <c r="K144" s="541"/>
      <c r="L144" s="541"/>
      <c r="M144" s="541"/>
      <c r="N144" s="541"/>
      <c r="Q144" s="478"/>
    </row>
    <row r="145" spans="1:17" ht="15" x14ac:dyDescent="0.25">
      <c r="A145" s="540"/>
      <c r="B145" s="541"/>
      <c r="C145" s="541"/>
      <c r="D145" s="541"/>
      <c r="E145" s="541"/>
      <c r="F145" s="541"/>
      <c r="G145" s="541"/>
      <c r="H145" s="541"/>
      <c r="I145" s="541"/>
      <c r="J145" s="541"/>
      <c r="K145" s="541"/>
      <c r="L145" s="541"/>
      <c r="M145" s="541"/>
      <c r="N145" s="541"/>
      <c r="Q145" s="478"/>
    </row>
    <row r="146" spans="1:17" ht="15" x14ac:dyDescent="0.25">
      <c r="A146" s="540"/>
      <c r="B146" s="541"/>
      <c r="C146" s="541"/>
      <c r="D146" s="541"/>
      <c r="E146" s="541"/>
      <c r="F146" s="541"/>
      <c r="G146" s="541"/>
      <c r="H146" s="541"/>
      <c r="I146" s="541"/>
      <c r="J146" s="541"/>
      <c r="K146" s="541"/>
      <c r="L146" s="541"/>
      <c r="M146" s="541"/>
      <c r="N146" s="541"/>
      <c r="Q146" s="478"/>
    </row>
    <row r="147" spans="1:17" ht="18" x14ac:dyDescent="0.25">
      <c r="A147" s="757" t="s">
        <v>243</v>
      </c>
      <c r="B147" s="758"/>
      <c r="C147" s="758"/>
      <c r="D147" s="758"/>
      <c r="E147" s="758"/>
      <c r="F147" s="758"/>
      <c r="G147" s="758"/>
      <c r="H147" s="758"/>
      <c r="I147" s="758"/>
      <c r="J147" s="758"/>
      <c r="K147" s="758"/>
      <c r="L147" s="758"/>
      <c r="M147" s="758"/>
      <c r="N147" s="759"/>
      <c r="Q147" s="478"/>
    </row>
    <row r="148" spans="1:17" ht="15.75" thickBot="1" x14ac:dyDescent="0.25">
      <c r="A148" s="754" t="s">
        <v>241</v>
      </c>
      <c r="B148" s="755"/>
      <c r="C148" s="755"/>
      <c r="D148" s="755"/>
      <c r="E148" s="755"/>
      <c r="F148" s="755"/>
      <c r="G148" s="755"/>
      <c r="H148" s="755"/>
      <c r="I148" s="755"/>
      <c r="J148" s="755"/>
      <c r="K148" s="755"/>
      <c r="L148" s="755"/>
      <c r="M148" s="755"/>
      <c r="N148" s="756"/>
      <c r="Q148" s="478"/>
    </row>
    <row r="149" spans="1:17" ht="15" thickBot="1" x14ac:dyDescent="0.25">
      <c r="Q149" s="478"/>
    </row>
    <row r="150" spans="1:17" ht="15.75" thickBot="1" x14ac:dyDescent="0.25">
      <c r="A150" s="464" t="s">
        <v>218</v>
      </c>
      <c r="B150" s="465">
        <v>42736</v>
      </c>
      <c r="C150" s="465">
        <v>42767</v>
      </c>
      <c r="D150" s="465">
        <v>42795</v>
      </c>
      <c r="E150" s="465">
        <v>42826</v>
      </c>
      <c r="F150" s="465">
        <v>42856</v>
      </c>
      <c r="G150" s="465">
        <v>42887</v>
      </c>
      <c r="H150" s="465">
        <v>42917</v>
      </c>
      <c r="I150" s="465">
        <v>42948</v>
      </c>
      <c r="J150" s="465">
        <v>42979</v>
      </c>
      <c r="K150" s="465">
        <v>43009</v>
      </c>
      <c r="L150" s="465">
        <v>43040</v>
      </c>
      <c r="M150" s="465">
        <v>43070</v>
      </c>
      <c r="N150" s="495" t="s">
        <v>219</v>
      </c>
      <c r="Q150" s="478"/>
    </row>
    <row r="151" spans="1:17" ht="15.75" thickBot="1" x14ac:dyDescent="0.3">
      <c r="A151" s="468" t="s">
        <v>230</v>
      </c>
      <c r="B151" s="496">
        <v>2.31</v>
      </c>
      <c r="C151" s="496">
        <v>2.61</v>
      </c>
      <c r="D151" s="496">
        <v>0.71</v>
      </c>
      <c r="E151" s="496">
        <v>0.23</v>
      </c>
      <c r="F151" s="502">
        <v>-0.84</v>
      </c>
      <c r="G151" s="496">
        <v>0.54</v>
      </c>
      <c r="H151" s="496">
        <v>4.21</v>
      </c>
      <c r="I151" s="496">
        <v>1.9</v>
      </c>
      <c r="J151" s="496">
        <v>2.08</v>
      </c>
      <c r="K151" s="502">
        <v>-7.0000000000000007E-2</v>
      </c>
      <c r="L151" s="502">
        <v>-0.84</v>
      </c>
      <c r="M151" s="496">
        <v>1.54</v>
      </c>
      <c r="N151" s="497">
        <f>((PRODUCT(1+B151/100,1+C151/100,1+D151/100,1+E151/100,1+F151/100,1+G151/100,1+H151/100,1+I151/100,1+J151/100,1+K151/100,1+L151/100,1+M151/100))-1)*100</f>
        <v>15.225155646849476</v>
      </c>
      <c r="Q151" s="478"/>
    </row>
    <row r="152" spans="1:17" ht="15.75" thickBot="1" x14ac:dyDescent="0.3">
      <c r="A152" s="474" t="s">
        <v>221</v>
      </c>
      <c r="B152" s="496">
        <v>0.91</v>
      </c>
      <c r="C152" s="496">
        <v>0.73</v>
      </c>
      <c r="D152" s="496">
        <v>0.81</v>
      </c>
      <c r="E152" s="496">
        <v>0.5</v>
      </c>
      <c r="F152" s="496">
        <v>0.87</v>
      </c>
      <c r="G152" s="496">
        <v>0.19</v>
      </c>
      <c r="H152" s="496">
        <v>0.66</v>
      </c>
      <c r="I152" s="496">
        <v>0.5</v>
      </c>
      <c r="J152" s="496">
        <v>0.44</v>
      </c>
      <c r="K152" s="496">
        <v>0.86</v>
      </c>
      <c r="L152" s="496">
        <v>0.64</v>
      </c>
      <c r="M152" s="496">
        <v>0.75</v>
      </c>
      <c r="N152" s="497">
        <f>((PRODUCT(1+B152/100,1+C152/100,1+D152/100,1+E152/100,1+F152/100,1+G152/100,1+H152/100,1+I152/100,1+J152/100,1+K152/100,1+L152/100,1+M152/100))-1)*100</f>
        <v>8.1467450184267154</v>
      </c>
      <c r="Q152" s="478"/>
    </row>
    <row r="153" spans="1:17" ht="15.75" thickBot="1" x14ac:dyDescent="0.3">
      <c r="A153" s="474" t="s">
        <v>118</v>
      </c>
      <c r="B153" s="496">
        <v>1.08</v>
      </c>
      <c r="C153" s="496">
        <v>0.86</v>
      </c>
      <c r="D153" s="496">
        <v>1.05</v>
      </c>
      <c r="E153" s="496">
        <v>0.79</v>
      </c>
      <c r="F153" s="496">
        <v>0.93</v>
      </c>
      <c r="G153" s="496">
        <v>0.81</v>
      </c>
      <c r="H153" s="496">
        <v>0.81</v>
      </c>
      <c r="I153" s="496">
        <v>0.8</v>
      </c>
      <c r="J153" s="496">
        <v>0.64</v>
      </c>
      <c r="K153" s="496">
        <v>0.64</v>
      </c>
      <c r="L153" s="496">
        <v>0.56999999999999995</v>
      </c>
      <c r="M153" s="496">
        <v>0.54</v>
      </c>
      <c r="N153" s="497">
        <f>((PRODUCT(1+B153/100,1+C153/100,1+D153/100,1+E153/100,1+F153/100,1+G153/100,1+H153/100,1+I153/100,1+J153/100,1+K153/100,1+L153/100,1+M153/100))-1)*100</f>
        <v>9.9447717995015275</v>
      </c>
      <c r="Q153" s="478"/>
    </row>
    <row r="154" spans="1:17" ht="15.75" thickBot="1" x14ac:dyDescent="0.3">
      <c r="A154" s="503" t="s">
        <v>222</v>
      </c>
      <c r="B154" s="542">
        <f t="shared" ref="B154:N154" si="13">B151-B152</f>
        <v>1.4</v>
      </c>
      <c r="C154" s="500">
        <f t="shared" si="13"/>
        <v>1.88</v>
      </c>
      <c r="D154" s="501">
        <f t="shared" si="13"/>
        <v>-0.10000000000000009</v>
      </c>
      <c r="E154" s="500">
        <f t="shared" si="13"/>
        <v>-0.27</v>
      </c>
      <c r="F154" s="501">
        <f t="shared" si="13"/>
        <v>-1.71</v>
      </c>
      <c r="G154" s="529">
        <f t="shared" si="13"/>
        <v>0.35000000000000003</v>
      </c>
      <c r="H154" s="529">
        <f t="shared" si="13"/>
        <v>3.55</v>
      </c>
      <c r="I154" s="529">
        <f t="shared" si="13"/>
        <v>1.4</v>
      </c>
      <c r="J154" s="529">
        <f t="shared" si="13"/>
        <v>1.6400000000000001</v>
      </c>
      <c r="K154" s="501">
        <f t="shared" si="13"/>
        <v>-0.92999999999999994</v>
      </c>
      <c r="L154" s="501">
        <f t="shared" si="13"/>
        <v>-1.48</v>
      </c>
      <c r="M154" s="500">
        <f t="shared" si="13"/>
        <v>0.79</v>
      </c>
      <c r="N154" s="530">
        <f t="shared" si="13"/>
        <v>7.0784106284227608</v>
      </c>
      <c r="Q154" s="478"/>
    </row>
    <row r="155" spans="1:17" ht="15" thickBot="1" x14ac:dyDescent="0.25">
      <c r="Q155" s="478"/>
    </row>
    <row r="156" spans="1:17" ht="18" x14ac:dyDescent="0.25">
      <c r="A156" s="760" t="s">
        <v>233</v>
      </c>
      <c r="B156" s="761"/>
      <c r="C156" s="761"/>
      <c r="D156" s="761"/>
      <c r="E156" s="761"/>
      <c r="F156" s="761"/>
      <c r="G156" s="761"/>
      <c r="H156" s="761"/>
      <c r="I156" s="761"/>
      <c r="J156" s="761"/>
      <c r="K156" s="761"/>
      <c r="L156" s="761"/>
      <c r="M156" s="761"/>
      <c r="N156" s="762"/>
      <c r="Q156" s="478"/>
    </row>
    <row r="157" spans="1:17" ht="15" thickBot="1" x14ac:dyDescent="0.25">
      <c r="A157" s="754" t="s">
        <v>231</v>
      </c>
      <c r="B157" s="755"/>
      <c r="C157" s="755"/>
      <c r="D157" s="755"/>
      <c r="E157" s="755"/>
      <c r="F157" s="755"/>
      <c r="G157" s="755"/>
      <c r="H157" s="755"/>
      <c r="I157" s="755"/>
      <c r="J157" s="755"/>
      <c r="K157" s="755"/>
      <c r="L157" s="755"/>
      <c r="M157" s="755"/>
      <c r="N157" s="756"/>
      <c r="Q157" s="478"/>
    </row>
    <row r="158" spans="1:17" ht="16.5" thickBot="1" x14ac:dyDescent="0.25">
      <c r="A158" s="463"/>
      <c r="B158" s="463"/>
      <c r="C158" s="463"/>
      <c r="D158" s="463"/>
      <c r="E158" s="463"/>
      <c r="F158" s="463"/>
      <c r="G158" s="463"/>
      <c r="H158" s="463"/>
      <c r="I158" s="463"/>
      <c r="J158" s="463"/>
      <c r="K158" s="463"/>
      <c r="L158" s="463"/>
      <c r="M158" s="463"/>
      <c r="N158" s="463"/>
      <c r="Q158" s="478"/>
    </row>
    <row r="159" spans="1:17" ht="15.75" thickBot="1" x14ac:dyDescent="0.25">
      <c r="A159" s="464" t="s">
        <v>218</v>
      </c>
      <c r="B159" s="465">
        <v>42736</v>
      </c>
      <c r="C159" s="466">
        <v>42767</v>
      </c>
      <c r="D159" s="466">
        <v>42795</v>
      </c>
      <c r="E159" s="466">
        <v>42826</v>
      </c>
      <c r="F159" s="466">
        <v>42856</v>
      </c>
      <c r="G159" s="466">
        <v>42887</v>
      </c>
      <c r="H159" s="466">
        <v>42917</v>
      </c>
      <c r="I159" s="466">
        <v>42948</v>
      </c>
      <c r="J159" s="466">
        <v>42979</v>
      </c>
      <c r="K159" s="466">
        <v>43009</v>
      </c>
      <c r="L159" s="466">
        <v>43040</v>
      </c>
      <c r="M159" s="494">
        <v>43070</v>
      </c>
      <c r="N159" s="495" t="s">
        <v>219</v>
      </c>
      <c r="Q159" s="478"/>
    </row>
    <row r="160" spans="1:17" ht="15.75" thickBot="1" x14ac:dyDescent="0.3">
      <c r="A160" s="468" t="s">
        <v>230</v>
      </c>
      <c r="B160" s="496">
        <v>2.31</v>
      </c>
      <c r="C160" s="496">
        <v>2.61</v>
      </c>
      <c r="D160" s="496">
        <v>0.71</v>
      </c>
      <c r="E160" s="496">
        <v>0.23</v>
      </c>
      <c r="F160" s="502">
        <v>-0.84</v>
      </c>
      <c r="G160" s="496">
        <v>0.54</v>
      </c>
      <c r="H160" s="496">
        <v>4.21</v>
      </c>
      <c r="I160" s="496">
        <v>1.9</v>
      </c>
      <c r="J160" s="496">
        <v>2.08</v>
      </c>
      <c r="K160" s="502">
        <v>-7.0000000000000007E-2</v>
      </c>
      <c r="L160" s="502">
        <v>-0.84</v>
      </c>
      <c r="M160" s="496">
        <v>1.54</v>
      </c>
      <c r="N160" s="497">
        <f>((PRODUCT(1+B160/100,1+C160/100,1+D160/100,1+E160/100,1+F160/100,1+G160/100,1+H160/100,1+I160/100,1+J160/100,1+K160/100,1+L160/100,1+M160/100))-1)*100</f>
        <v>15.225155646849476</v>
      </c>
      <c r="Q160" s="478"/>
    </row>
    <row r="161" spans="1:17" ht="15.75" thickBot="1" x14ac:dyDescent="0.3">
      <c r="A161" s="474" t="s">
        <v>221</v>
      </c>
      <c r="B161" s="496">
        <v>0.91</v>
      </c>
      <c r="C161" s="496">
        <v>0.72</v>
      </c>
      <c r="D161" s="496">
        <v>0.81</v>
      </c>
      <c r="E161" s="496">
        <v>0.5</v>
      </c>
      <c r="F161" s="496">
        <v>0.87</v>
      </c>
      <c r="G161" s="496">
        <v>0.19</v>
      </c>
      <c r="H161" s="496">
        <v>0.66</v>
      </c>
      <c r="I161" s="496">
        <v>0.5</v>
      </c>
      <c r="J161" s="496">
        <v>0.44</v>
      </c>
      <c r="K161" s="496">
        <v>0.86</v>
      </c>
      <c r="L161" s="496">
        <v>0.64</v>
      </c>
      <c r="M161" s="496">
        <v>0.75</v>
      </c>
      <c r="N161" s="497">
        <f>((PRODUCT(1+B161/100,1+C161/100,1+D161/100,1+E161/100,1+F161/100,1+G161/100,1+H161/100,1+I161/100,1+J161/100,1+K161/100,1+L161/100,1+M161/100))-1)*100</f>
        <v>8.1360087189112704</v>
      </c>
      <c r="Q161" s="478"/>
    </row>
    <row r="162" spans="1:17" ht="15.75" thickBot="1" x14ac:dyDescent="0.3">
      <c r="A162" s="474" t="s">
        <v>118</v>
      </c>
      <c r="B162" s="496">
        <v>1.08</v>
      </c>
      <c r="C162" s="496">
        <v>0.86</v>
      </c>
      <c r="D162" s="496">
        <v>1.05</v>
      </c>
      <c r="E162" s="496">
        <v>0.79</v>
      </c>
      <c r="F162" s="496">
        <v>0.93</v>
      </c>
      <c r="G162" s="496">
        <v>0.81</v>
      </c>
      <c r="H162" s="496">
        <v>0.81</v>
      </c>
      <c r="I162" s="496">
        <v>0.8</v>
      </c>
      <c r="J162" s="496">
        <v>0.64</v>
      </c>
      <c r="K162" s="496">
        <v>0.64</v>
      </c>
      <c r="L162" s="496">
        <v>0.56999999999999995</v>
      </c>
      <c r="M162" s="496">
        <v>0.54</v>
      </c>
      <c r="N162" s="497">
        <f>((PRODUCT(1+B162/100,1+C162/100,1+D162/100,1+E162/100,1+F162/100,1+G162/100,1+H162/100,1+I162/100,1+J162/100,1+K162/100,1+L162/100,1+M162/100))-1)*100</f>
        <v>9.9447717995015275</v>
      </c>
      <c r="Q162" s="478"/>
    </row>
    <row r="163" spans="1:17" ht="15.75" thickBot="1" x14ac:dyDescent="0.3">
      <c r="A163" s="479" t="s">
        <v>222</v>
      </c>
      <c r="B163" s="531">
        <f t="shared" ref="B163:N163" si="14">B160-B161</f>
        <v>1.4</v>
      </c>
      <c r="C163" s="498">
        <f t="shared" si="14"/>
        <v>1.89</v>
      </c>
      <c r="D163" s="531">
        <f t="shared" si="14"/>
        <v>-0.10000000000000009</v>
      </c>
      <c r="E163" s="498">
        <f t="shared" si="14"/>
        <v>-0.27</v>
      </c>
      <c r="F163" s="499">
        <f t="shared" si="14"/>
        <v>-1.71</v>
      </c>
      <c r="G163" s="532">
        <f t="shared" si="14"/>
        <v>0.35000000000000003</v>
      </c>
      <c r="H163" s="532">
        <f t="shared" si="14"/>
        <v>3.55</v>
      </c>
      <c r="I163" s="532">
        <f t="shared" si="14"/>
        <v>1.4</v>
      </c>
      <c r="J163" s="532">
        <f t="shared" si="14"/>
        <v>1.6400000000000001</v>
      </c>
      <c r="K163" s="499">
        <f t="shared" si="14"/>
        <v>-0.92999999999999994</v>
      </c>
      <c r="L163" s="499">
        <f t="shared" si="14"/>
        <v>-1.48</v>
      </c>
      <c r="M163" s="500">
        <f t="shared" si="14"/>
        <v>0.79</v>
      </c>
      <c r="N163" s="530">
        <f t="shared" si="14"/>
        <v>7.0891469279382058</v>
      </c>
      <c r="Q163" s="478"/>
    </row>
    <row r="164" spans="1:17" x14ac:dyDescent="0.2">
      <c r="Q164" s="478"/>
    </row>
    <row r="165" spans="1:17" ht="15" x14ac:dyDescent="0.25">
      <c r="A165" s="540"/>
      <c r="B165" s="541"/>
      <c r="C165" s="541"/>
      <c r="D165" s="541"/>
      <c r="E165" s="541"/>
      <c r="F165" s="541"/>
      <c r="G165" s="541"/>
      <c r="H165" s="541"/>
      <c r="I165" s="541"/>
      <c r="J165" s="541"/>
      <c r="K165" s="541"/>
      <c r="L165" s="541"/>
      <c r="M165" s="541"/>
      <c r="N165" s="541"/>
      <c r="Q165" s="478"/>
    </row>
    <row r="166" spans="1:17" ht="15" x14ac:dyDescent="0.25">
      <c r="A166" s="540"/>
      <c r="B166" s="541"/>
      <c r="C166" s="541"/>
      <c r="D166" s="541"/>
      <c r="E166" s="541"/>
      <c r="F166" s="541"/>
      <c r="G166" s="541"/>
      <c r="H166" s="541"/>
      <c r="I166" s="541"/>
      <c r="J166" s="541"/>
      <c r="K166" s="541"/>
      <c r="L166" s="541"/>
      <c r="M166" s="541"/>
      <c r="N166" s="541"/>
      <c r="Q166" s="478"/>
    </row>
    <row r="167" spans="1:17" ht="15" x14ac:dyDescent="0.25">
      <c r="A167" s="474" t="s">
        <v>221</v>
      </c>
      <c r="B167" s="475">
        <v>9.1000000000000004E-3</v>
      </c>
      <c r="C167" s="475">
        <v>7.1999999999999998E-3</v>
      </c>
      <c r="D167" s="475">
        <v>8.0999999999999996E-3</v>
      </c>
      <c r="E167" s="475">
        <v>5.0000000000000001E-3</v>
      </c>
      <c r="F167" s="475">
        <v>8.6999999999999994E-3</v>
      </c>
      <c r="G167" s="475">
        <v>1.9E-3</v>
      </c>
      <c r="H167" s="475">
        <v>6.6E-3</v>
      </c>
      <c r="I167" s="475">
        <v>5.0000000000000001E-3</v>
      </c>
      <c r="J167" s="475">
        <v>4.4000000000000003E-3</v>
      </c>
      <c r="K167" s="475">
        <v>8.6E-3</v>
      </c>
      <c r="L167" s="475">
        <v>5.5999999999999999E-3</v>
      </c>
      <c r="M167" s="475">
        <v>6.3E-3</v>
      </c>
      <c r="N167" s="477">
        <f>(1+B167)*(1+C167)*(1+D167)*(1+E167)*(1+F167)*(1+G167)*(1+H167)*(1+I167)*(1+J167)*(1+K167)*(1+L167)*(1+M167)-1</f>
        <v>7.921355198741864E-2</v>
      </c>
      <c r="Q167" s="478"/>
    </row>
    <row r="168" spans="1:17" ht="15" x14ac:dyDescent="0.25">
      <c r="A168" s="540"/>
      <c r="B168" s="541"/>
      <c r="C168" s="541"/>
      <c r="D168" s="541"/>
      <c r="E168" s="541"/>
      <c r="F168" s="541"/>
      <c r="G168" s="541"/>
      <c r="H168" s="541"/>
      <c r="I168" s="541"/>
      <c r="J168" s="541"/>
      <c r="K168" s="541"/>
      <c r="L168" s="541"/>
      <c r="M168" s="541"/>
      <c r="N168" s="541"/>
      <c r="Q168" s="478"/>
    </row>
    <row r="169" spans="1:17" ht="15" x14ac:dyDescent="0.25">
      <c r="A169" s="540"/>
      <c r="B169" s="541"/>
      <c r="C169" s="541"/>
      <c r="D169" s="541"/>
      <c r="E169" s="541"/>
      <c r="F169" s="541"/>
      <c r="G169" s="541"/>
      <c r="H169" s="541"/>
      <c r="I169" s="541"/>
      <c r="J169" s="541"/>
      <c r="K169" s="541"/>
      <c r="L169" s="541"/>
      <c r="M169" s="541"/>
      <c r="N169" s="541"/>
      <c r="Q169" s="478"/>
    </row>
    <row r="170" spans="1:17" ht="15" x14ac:dyDescent="0.25">
      <c r="A170" s="540"/>
      <c r="B170" s="541"/>
      <c r="C170" s="541"/>
      <c r="D170" s="541"/>
      <c r="E170" s="541"/>
      <c r="F170" s="541"/>
      <c r="G170" s="541"/>
      <c r="H170" s="541"/>
      <c r="I170" s="541"/>
      <c r="J170" s="541"/>
      <c r="K170" s="541"/>
      <c r="L170" s="541"/>
      <c r="M170" s="541"/>
      <c r="N170" s="541"/>
      <c r="Q170" s="478"/>
    </row>
    <row r="171" spans="1:17" ht="18" x14ac:dyDescent="0.25">
      <c r="A171" s="757" t="s">
        <v>245</v>
      </c>
      <c r="B171" s="758"/>
      <c r="C171" s="758"/>
      <c r="D171" s="758"/>
      <c r="E171" s="758"/>
      <c r="F171" s="758"/>
      <c r="G171" s="758"/>
      <c r="H171" s="758"/>
      <c r="I171" s="758"/>
      <c r="J171" s="758"/>
      <c r="K171" s="758"/>
      <c r="L171" s="758"/>
      <c r="M171" s="758"/>
      <c r="N171" s="759"/>
      <c r="Q171" s="478"/>
    </row>
    <row r="172" spans="1:17" ht="15.75" thickBot="1" x14ac:dyDescent="0.25">
      <c r="A172" s="754" t="s">
        <v>241</v>
      </c>
      <c r="B172" s="755"/>
      <c r="C172" s="755"/>
      <c r="D172" s="755"/>
      <c r="E172" s="755"/>
      <c r="F172" s="755"/>
      <c r="G172" s="755"/>
      <c r="H172" s="755"/>
      <c r="I172" s="755"/>
      <c r="J172" s="755"/>
      <c r="K172" s="755"/>
      <c r="L172" s="755"/>
      <c r="M172" s="755"/>
      <c r="N172" s="756"/>
      <c r="Q172" s="478"/>
    </row>
    <row r="173" spans="1:17" ht="15" thickBot="1" x14ac:dyDescent="0.25">
      <c r="Q173" s="478"/>
    </row>
    <row r="174" spans="1:17" ht="15.75" thickBot="1" x14ac:dyDescent="0.25">
      <c r="A174" s="464" t="s">
        <v>218</v>
      </c>
      <c r="B174" s="465">
        <v>43101</v>
      </c>
      <c r="C174" s="465">
        <v>43132</v>
      </c>
      <c r="D174" s="465">
        <v>43160</v>
      </c>
      <c r="E174" s="465">
        <v>43191</v>
      </c>
      <c r="F174" s="465">
        <v>43221</v>
      </c>
      <c r="G174" s="465">
        <v>43252</v>
      </c>
      <c r="H174" s="465">
        <v>43282</v>
      </c>
      <c r="I174" s="465">
        <v>43313</v>
      </c>
      <c r="J174" s="465">
        <v>43344</v>
      </c>
      <c r="K174" s="465">
        <v>43374</v>
      </c>
      <c r="L174" s="465">
        <v>43405</v>
      </c>
      <c r="M174" s="465">
        <v>43435</v>
      </c>
      <c r="N174" s="495" t="s">
        <v>219</v>
      </c>
      <c r="Q174" s="478"/>
    </row>
    <row r="175" spans="1:17" ht="15.75" thickBot="1" x14ac:dyDescent="0.3">
      <c r="A175" s="468" t="s">
        <v>230</v>
      </c>
      <c r="B175" s="496">
        <v>2.77</v>
      </c>
      <c r="C175" s="496">
        <v>0.85</v>
      </c>
      <c r="D175" s="496">
        <v>1.1200000000000001</v>
      </c>
      <c r="E175" s="496">
        <v>0.35</v>
      </c>
      <c r="F175" s="502">
        <v>-2.6</v>
      </c>
      <c r="G175" s="502">
        <v>-0.21</v>
      </c>
      <c r="H175" s="496">
        <v>2.06</v>
      </c>
      <c r="I175" s="496"/>
      <c r="J175" s="496"/>
      <c r="K175" s="502"/>
      <c r="L175" s="502"/>
      <c r="M175" s="496"/>
      <c r="N175" s="497">
        <f>((PRODUCT(1+B175/100,1+C175/100,1+D175/100,1+E175/100,1+F175/100,1+G175/100,1+H175/100,1+I175/100,1+J175/100,1+K175/100,1+L175/100,1+M175/100))-1)*100</f>
        <v>4.3273654347449231</v>
      </c>
      <c r="Q175" s="478"/>
    </row>
    <row r="176" spans="1:17" ht="15.75" thickBot="1" x14ac:dyDescent="0.3">
      <c r="A176" s="474" t="s">
        <v>221</v>
      </c>
      <c r="B176" s="496">
        <v>0.74</v>
      </c>
      <c r="C176" s="496">
        <v>0.6</v>
      </c>
      <c r="D176" s="496">
        <v>0.56000000000000005</v>
      </c>
      <c r="E176" s="496">
        <v>0.7</v>
      </c>
      <c r="F176" s="496">
        <v>0.92</v>
      </c>
      <c r="G176" s="496">
        <v>1.92</v>
      </c>
      <c r="H176" s="496">
        <v>0.76</v>
      </c>
      <c r="I176" s="496"/>
      <c r="J176" s="496"/>
      <c r="K176" s="496"/>
      <c r="L176" s="496"/>
      <c r="M176" s="496"/>
      <c r="N176" s="497">
        <f>((PRODUCT(1+B176/100,1+C176/100,1+D176/100,1+E176/100,1+F176/100,1+G176/100,1+H176/100,1+I176/100,1+J176/100,1+K176/100,1+L176/100,1+M176/100))-1)*100</f>
        <v>6.3602815105536781</v>
      </c>
      <c r="Q176" s="478"/>
    </row>
    <row r="177" spans="1:17" ht="15.75" thickBot="1" x14ac:dyDescent="0.3">
      <c r="A177" s="474" t="s">
        <v>118</v>
      </c>
      <c r="B177" s="496">
        <v>0.57999999999999996</v>
      </c>
      <c r="C177" s="496">
        <v>0.46</v>
      </c>
      <c r="D177" s="496">
        <v>0.53</v>
      </c>
      <c r="E177" s="496">
        <v>0.52</v>
      </c>
      <c r="F177" s="496">
        <v>0.52</v>
      </c>
      <c r="G177" s="496">
        <v>0.52</v>
      </c>
      <c r="H177" s="496">
        <v>0.54</v>
      </c>
      <c r="I177" s="496"/>
      <c r="J177" s="496"/>
      <c r="K177" s="496"/>
      <c r="L177" s="496"/>
      <c r="M177" s="496"/>
      <c r="N177" s="497">
        <f>((PRODUCT(1+B177/100,1+C177/100,1+D177/100,1+E177/100,1+F177/100,1+G177/100,1+H177/100,1+I177/100,1+J177/100,1+K177/100,1+L177/100,1+M177/100))-1)*100</f>
        <v>3.7281920434895977</v>
      </c>
      <c r="Q177" s="478"/>
    </row>
    <row r="178" spans="1:17" ht="15.75" thickBot="1" x14ac:dyDescent="0.3">
      <c r="A178" s="503" t="s">
        <v>222</v>
      </c>
      <c r="B178" s="542">
        <f t="shared" ref="B178:N178" si="15">B175-B176</f>
        <v>2.0300000000000002</v>
      </c>
      <c r="C178" s="500">
        <f t="shared" si="15"/>
        <v>0.25</v>
      </c>
      <c r="D178" s="542">
        <f t="shared" si="15"/>
        <v>0.56000000000000005</v>
      </c>
      <c r="E178" s="501">
        <f t="shared" si="15"/>
        <v>-0.35</v>
      </c>
      <c r="F178" s="501">
        <f t="shared" si="15"/>
        <v>-3.52</v>
      </c>
      <c r="G178" s="501">
        <f t="shared" si="15"/>
        <v>-2.13</v>
      </c>
      <c r="H178" s="542">
        <f t="shared" si="15"/>
        <v>1.3</v>
      </c>
      <c r="I178" s="501">
        <f t="shared" si="15"/>
        <v>0</v>
      </c>
      <c r="J178" s="529">
        <f t="shared" si="15"/>
        <v>0</v>
      </c>
      <c r="K178" s="501">
        <f t="shared" si="15"/>
        <v>0</v>
      </c>
      <c r="L178" s="501">
        <f t="shared" si="15"/>
        <v>0</v>
      </c>
      <c r="M178" s="500">
        <f t="shared" si="15"/>
        <v>0</v>
      </c>
      <c r="N178" s="501">
        <f t="shared" si="15"/>
        <v>-2.032916075808755</v>
      </c>
      <c r="Q178" s="478"/>
    </row>
    <row r="179" spans="1:17" ht="15" thickBot="1" x14ac:dyDescent="0.25">
      <c r="Q179" s="478"/>
    </row>
    <row r="180" spans="1:17" ht="18" x14ac:dyDescent="0.25">
      <c r="A180" s="760" t="s">
        <v>233</v>
      </c>
      <c r="B180" s="761"/>
      <c r="C180" s="761"/>
      <c r="D180" s="761"/>
      <c r="E180" s="761"/>
      <c r="F180" s="761"/>
      <c r="G180" s="761"/>
      <c r="H180" s="761"/>
      <c r="I180" s="761"/>
      <c r="J180" s="761"/>
      <c r="K180" s="761"/>
      <c r="L180" s="761"/>
      <c r="M180" s="761"/>
      <c r="N180" s="762"/>
      <c r="Q180" s="478"/>
    </row>
    <row r="181" spans="1:17" ht="15" thickBot="1" x14ac:dyDescent="0.25">
      <c r="A181" s="754" t="s">
        <v>231</v>
      </c>
      <c r="B181" s="755"/>
      <c r="C181" s="755"/>
      <c r="D181" s="755"/>
      <c r="E181" s="755"/>
      <c r="F181" s="755"/>
      <c r="G181" s="755"/>
      <c r="H181" s="755"/>
      <c r="I181" s="755"/>
      <c r="J181" s="755"/>
      <c r="K181" s="755"/>
      <c r="L181" s="755"/>
      <c r="M181" s="755"/>
      <c r="N181" s="756"/>
      <c r="Q181" s="478"/>
    </row>
    <row r="182" spans="1:17" ht="16.5" thickBot="1" x14ac:dyDescent="0.25">
      <c r="A182" s="463"/>
      <c r="B182" s="463"/>
      <c r="C182" s="463"/>
      <c r="D182" s="463"/>
      <c r="E182" s="463"/>
      <c r="F182" s="463"/>
      <c r="G182" s="463"/>
      <c r="H182" s="463"/>
      <c r="I182" s="463"/>
      <c r="J182" s="463"/>
      <c r="K182" s="463"/>
      <c r="L182" s="463"/>
      <c r="M182" s="463"/>
      <c r="N182" s="463"/>
      <c r="Q182" s="478"/>
    </row>
    <row r="183" spans="1:17" ht="15.75" thickBot="1" x14ac:dyDescent="0.25">
      <c r="A183" s="464" t="s">
        <v>218</v>
      </c>
      <c r="B183" s="465">
        <v>43101</v>
      </c>
      <c r="C183" s="466">
        <v>43132</v>
      </c>
      <c r="D183" s="466">
        <v>43160</v>
      </c>
      <c r="E183" s="466">
        <v>43191</v>
      </c>
      <c r="F183" s="466">
        <v>43221</v>
      </c>
      <c r="G183" s="466">
        <v>43252</v>
      </c>
      <c r="H183" s="466">
        <v>43282</v>
      </c>
      <c r="I183" s="466">
        <v>42948</v>
      </c>
      <c r="J183" s="466">
        <v>42979</v>
      </c>
      <c r="K183" s="466">
        <v>43009</v>
      </c>
      <c r="L183" s="466">
        <v>43040</v>
      </c>
      <c r="M183" s="494">
        <v>43070</v>
      </c>
      <c r="N183" s="495" t="s">
        <v>219</v>
      </c>
      <c r="Q183" s="478"/>
    </row>
    <row r="184" spans="1:17" ht="15.75" thickBot="1" x14ac:dyDescent="0.3">
      <c r="A184" s="468" t="s">
        <v>230</v>
      </c>
      <c r="B184" s="496">
        <v>2.77</v>
      </c>
      <c r="C184" s="496">
        <v>0.85</v>
      </c>
      <c r="D184" s="496">
        <v>1.1200000000000001</v>
      </c>
      <c r="E184" s="496">
        <v>0.35</v>
      </c>
      <c r="F184" s="502">
        <v>-2.6</v>
      </c>
      <c r="G184" s="502">
        <v>-0.21</v>
      </c>
      <c r="H184" s="496">
        <v>2.06</v>
      </c>
      <c r="I184" s="496">
        <v>1.9</v>
      </c>
      <c r="J184" s="496">
        <v>2.08</v>
      </c>
      <c r="K184" s="502">
        <v>-7.0000000000000007E-2</v>
      </c>
      <c r="L184" s="502">
        <v>-0.84</v>
      </c>
      <c r="M184" s="496">
        <v>1.54</v>
      </c>
      <c r="N184" s="497">
        <f>((PRODUCT(1+B184/100,1+C184/100,1+D184/100,1+E184/100,1+F184/100,1+G184/100,1+H184/100,1+I184/100,1+J184/100,1+K184/100,1+L184/100,1+M184/100))-1)*100</f>
        <v>9.1899457706632113</v>
      </c>
      <c r="Q184" s="478"/>
    </row>
    <row r="185" spans="1:17" ht="15.75" thickBot="1" x14ac:dyDescent="0.3">
      <c r="A185" s="474" t="s">
        <v>221</v>
      </c>
      <c r="B185" s="496">
        <v>0.74</v>
      </c>
      <c r="C185" s="496">
        <v>0.6</v>
      </c>
      <c r="D185" s="496">
        <v>0.56000000000000005</v>
      </c>
      <c r="E185" s="496">
        <v>0.7</v>
      </c>
      <c r="F185" s="496">
        <v>0.92</v>
      </c>
      <c r="G185" s="496">
        <v>1.92</v>
      </c>
      <c r="H185" s="496">
        <v>0.76</v>
      </c>
      <c r="I185" s="496">
        <v>0.5</v>
      </c>
      <c r="J185" s="496">
        <v>0.44</v>
      </c>
      <c r="K185" s="496">
        <v>0.86</v>
      </c>
      <c r="L185" s="496">
        <v>0.64</v>
      </c>
      <c r="M185" s="496">
        <v>0.75</v>
      </c>
      <c r="N185" s="497">
        <f>((PRODUCT(1+B185/100,1+C185/100,1+D185/100,1+E185/100,1+F185/100,1+G185/100,1+H185/100,1+I185/100,1+J185/100,1+K185/100,1+L185/100,1+M185/100))-1)*100</f>
        <v>9.7960940818646591</v>
      </c>
      <c r="Q185" s="478"/>
    </row>
    <row r="186" spans="1:17" ht="15.75" thickBot="1" x14ac:dyDescent="0.3">
      <c r="A186" s="474" t="s">
        <v>118</v>
      </c>
      <c r="B186" s="496">
        <v>0.57999999999999996</v>
      </c>
      <c r="C186" s="496">
        <v>0.46</v>
      </c>
      <c r="D186" s="496">
        <v>0.53</v>
      </c>
      <c r="E186" s="496">
        <v>0.52</v>
      </c>
      <c r="F186" s="496">
        <v>0.52</v>
      </c>
      <c r="G186" s="496">
        <v>0.52</v>
      </c>
      <c r="H186" s="496">
        <v>0.54</v>
      </c>
      <c r="I186" s="496">
        <v>0.8</v>
      </c>
      <c r="J186" s="496">
        <v>0.64</v>
      </c>
      <c r="K186" s="496">
        <v>0.64</v>
      </c>
      <c r="L186" s="496">
        <v>0.56999999999999995</v>
      </c>
      <c r="M186" s="496">
        <v>0.54</v>
      </c>
      <c r="N186" s="497">
        <f>((PRODUCT(1+B186/100,1+C186/100,1+D186/100,1+E186/100,1+F186/100,1+G186/100,1+H186/100,1+I186/100,1+J186/100,1+K186/100,1+L186/100,1+M186/100))-1)*100</f>
        <v>7.0793996592519948</v>
      </c>
      <c r="Q186" s="478"/>
    </row>
    <row r="187" spans="1:17" ht="15.75" thickBot="1" x14ac:dyDescent="0.3">
      <c r="A187" s="479" t="s">
        <v>222</v>
      </c>
      <c r="B187" s="531">
        <f t="shared" ref="B187:N187" si="16">B184-B185</f>
        <v>2.0300000000000002</v>
      </c>
      <c r="C187" s="498">
        <f t="shared" si="16"/>
        <v>0.25</v>
      </c>
      <c r="D187" s="531">
        <f t="shared" si="16"/>
        <v>0.56000000000000005</v>
      </c>
      <c r="E187" s="499">
        <f t="shared" si="16"/>
        <v>-0.35</v>
      </c>
      <c r="F187" s="499">
        <f t="shared" si="16"/>
        <v>-3.52</v>
      </c>
      <c r="G187" s="499">
        <f t="shared" si="16"/>
        <v>-2.13</v>
      </c>
      <c r="H187" s="532">
        <f t="shared" si="16"/>
        <v>1.3</v>
      </c>
      <c r="I187" s="532">
        <f t="shared" si="16"/>
        <v>1.4</v>
      </c>
      <c r="J187" s="532">
        <f t="shared" si="16"/>
        <v>1.6400000000000001</v>
      </c>
      <c r="K187" s="499">
        <f t="shared" si="16"/>
        <v>-0.92999999999999994</v>
      </c>
      <c r="L187" s="499">
        <f t="shared" si="16"/>
        <v>-1.48</v>
      </c>
      <c r="M187" s="500">
        <f t="shared" si="16"/>
        <v>0.79</v>
      </c>
      <c r="N187" s="501">
        <f t="shared" si="16"/>
        <v>-0.60614831120144785</v>
      </c>
      <c r="Q187" s="478"/>
    </row>
    <row r="188" spans="1:17" x14ac:dyDescent="0.2">
      <c r="Q188" s="478">
        <v>1.6299999999999999E-2</v>
      </c>
    </row>
    <row r="189" spans="1:17" ht="15" x14ac:dyDescent="0.25">
      <c r="A189" s="540"/>
      <c r="B189" s="541"/>
      <c r="C189" s="541"/>
      <c r="D189" s="541"/>
      <c r="E189" s="541"/>
      <c r="F189" s="541"/>
      <c r="G189" s="541"/>
      <c r="H189" s="541"/>
      <c r="I189" s="541"/>
      <c r="J189" s="541"/>
      <c r="K189" s="541"/>
      <c r="L189" s="541"/>
      <c r="M189" s="541"/>
      <c r="N189" s="541"/>
      <c r="Q189" s="478">
        <v>1.3599999999999999E-2</v>
      </c>
    </row>
    <row r="190" spans="1:17" ht="15" x14ac:dyDescent="0.25">
      <c r="A190" s="540"/>
      <c r="B190" s="541"/>
      <c r="C190" s="541"/>
      <c r="D190" s="541"/>
      <c r="E190" s="541"/>
      <c r="F190" s="541"/>
      <c r="G190" s="541"/>
      <c r="H190" s="541"/>
      <c r="I190" s="541"/>
      <c r="J190" s="541"/>
      <c r="K190" s="541"/>
      <c r="L190" s="541"/>
      <c r="M190" s="541"/>
      <c r="N190" s="541"/>
      <c r="Q190" s="478">
        <v>5.3E-3</v>
      </c>
    </row>
    <row r="191" spans="1:17" ht="15" x14ac:dyDescent="0.25">
      <c r="A191" s="474" t="s">
        <v>221</v>
      </c>
      <c r="B191" s="475">
        <v>2.0299999999999999E-2</v>
      </c>
      <c r="C191" s="475">
        <v>6.4999999999999997E-3</v>
      </c>
      <c r="D191" s="475">
        <v>1.24E-2</v>
      </c>
      <c r="E191" s="475">
        <v>1.9E-3</v>
      </c>
      <c r="F191" s="475"/>
      <c r="G191" s="475"/>
      <c r="H191" s="475"/>
      <c r="I191" s="475"/>
      <c r="J191" s="475"/>
      <c r="K191" s="475"/>
      <c r="L191" s="475"/>
      <c r="M191" s="475"/>
      <c r="N191" s="477">
        <f>(1+B191)*(1+C191)*(1+D191)*(1+E191)*(1+F191)*(1+G191)*(1+H191)*(1+I191)*(1+J191)*(1+K191)*(1+L191)*(1+M191)-1</f>
        <v>4.1641271401742008E-2</v>
      </c>
      <c r="Q191" s="478">
        <v>-1.34E-2</v>
      </c>
    </row>
    <row r="192" spans="1:17" ht="15" x14ac:dyDescent="0.25">
      <c r="A192" s="474" t="s">
        <v>221</v>
      </c>
      <c r="B192" s="475">
        <v>6.1899999999999997E-2</v>
      </c>
      <c r="C192" s="475">
        <v>1.7899999999999999E-2</v>
      </c>
      <c r="D192" s="475">
        <v>5.7999999999999996E-3</v>
      </c>
      <c r="E192" s="475">
        <v>1.06E-2</v>
      </c>
      <c r="F192" s="475"/>
      <c r="G192" s="475"/>
      <c r="H192" s="475"/>
      <c r="I192" s="475"/>
      <c r="J192" s="475"/>
      <c r="K192" s="475"/>
      <c r="L192" s="475"/>
      <c r="M192" s="475"/>
      <c r="N192" s="477">
        <f t="shared" ref="N192:N193" si="17">(1+B192)*(1+C192)*(1+D192)*(1+E192)*(1+F192)*(1+G192)*(1+H192)*(1+I192)*(1+J192)*(1+K192)*(1+L192)*(1+M192)-1</f>
        <v>9.8701355588454831E-2</v>
      </c>
      <c r="Q192" s="478">
        <v>2.0999999999999999E-3</v>
      </c>
    </row>
    <row r="193" spans="1:17" ht="15" x14ac:dyDescent="0.25">
      <c r="A193" s="474" t="s">
        <v>221</v>
      </c>
      <c r="B193" s="475">
        <v>2.7699999999999999E-2</v>
      </c>
      <c r="C193" s="475">
        <v>8.5000000000000006E-3</v>
      </c>
      <c r="D193" s="475">
        <v>1.12E-2</v>
      </c>
      <c r="E193" s="475">
        <v>3.5000000000000001E-3</v>
      </c>
      <c r="F193" s="475"/>
      <c r="G193" s="475"/>
      <c r="H193" s="475"/>
      <c r="I193" s="475"/>
      <c r="J193" s="475"/>
      <c r="K193" s="475"/>
      <c r="L193" s="475"/>
      <c r="M193" s="475"/>
      <c r="N193" s="477">
        <f t="shared" si="17"/>
        <v>5.1711679384639941E-2</v>
      </c>
      <c r="Q193" s="478">
        <v>1.8700000000000001E-2</v>
      </c>
    </row>
    <row r="194" spans="1:17" x14ac:dyDescent="0.2">
      <c r="Q194" s="478">
        <v>8.6999999999999994E-3</v>
      </c>
    </row>
    <row r="195" spans="1:17" x14ac:dyDescent="0.2">
      <c r="Q195" s="478">
        <v>1.3899999999999999E-2</v>
      </c>
    </row>
    <row r="199" spans="1:17" x14ac:dyDescent="0.2">
      <c r="B199" s="462" t="s">
        <v>244</v>
      </c>
    </row>
  </sheetData>
  <mergeCells count="34">
    <mergeCell ref="A84:N84"/>
    <mergeCell ref="A157:N157"/>
    <mergeCell ref="A104:N104"/>
    <mergeCell ref="A105:N105"/>
    <mergeCell ref="A113:N113"/>
    <mergeCell ref="A114:N114"/>
    <mergeCell ref="A124:N124"/>
    <mergeCell ref="A125:N125"/>
    <mergeCell ref="A133:N133"/>
    <mergeCell ref="A134:N134"/>
    <mergeCell ref="A147:N147"/>
    <mergeCell ref="A148:N148"/>
    <mergeCell ref="A156:N156"/>
    <mergeCell ref="A2:N2"/>
    <mergeCell ref="A3:N3"/>
    <mergeCell ref="A13:N13"/>
    <mergeCell ref="A14:N14"/>
    <mergeCell ref="A24:N24"/>
    <mergeCell ref="A25:N25"/>
    <mergeCell ref="A171:N171"/>
    <mergeCell ref="A172:N172"/>
    <mergeCell ref="A180:N180"/>
    <mergeCell ref="A181:N181"/>
    <mergeCell ref="A85:N85"/>
    <mergeCell ref="A35:N35"/>
    <mergeCell ref="A36:N36"/>
    <mergeCell ref="A46:N46"/>
    <mergeCell ref="A47:N47"/>
    <mergeCell ref="A56:N56"/>
    <mergeCell ref="A57:N57"/>
    <mergeCell ref="A65:N65"/>
    <mergeCell ref="A66:N66"/>
    <mergeCell ref="A75:N75"/>
    <mergeCell ref="A76:N76"/>
  </mergeCells>
  <pageMargins left="0.51181102362204722" right="0.51181102362204722" top="0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81"/>
  <sheetViews>
    <sheetView topLeftCell="I106" zoomScaleNormal="100" workbookViewId="0">
      <selection activeCell="L110" sqref="L110"/>
    </sheetView>
  </sheetViews>
  <sheetFormatPr defaultRowHeight="15" x14ac:dyDescent="0.25"/>
  <cols>
    <col min="1" max="1" width="5" customWidth="1"/>
    <col min="2" max="2" width="30.140625" customWidth="1"/>
    <col min="3" max="3" width="0.28515625" customWidth="1"/>
    <col min="4" max="4" width="38.28515625" customWidth="1"/>
    <col min="5" max="5" width="7.7109375" bestFit="1" customWidth="1"/>
    <col min="6" max="6" width="6.28515625" customWidth="1"/>
    <col min="7" max="7" width="25.140625" style="1" bestFit="1" customWidth="1"/>
    <col min="8" max="8" width="11.5703125" style="300" customWidth="1"/>
    <col min="9" max="9" width="10.85546875" customWidth="1"/>
    <col min="10" max="10" width="7.5703125" customWidth="1"/>
    <col min="11" max="11" width="7.7109375" customWidth="1"/>
    <col min="12" max="12" width="9.140625" customWidth="1"/>
    <col min="13" max="13" width="14" style="299" bestFit="1" customWidth="1"/>
    <col min="14" max="14" width="8.140625" style="300" bestFit="1" customWidth="1"/>
    <col min="15" max="15" width="13.5703125" customWidth="1"/>
    <col min="16" max="16" width="6.85546875" customWidth="1"/>
    <col min="17" max="17" width="5.5703125" customWidth="1"/>
    <col min="18" max="18" width="5.85546875" customWidth="1"/>
    <col min="19" max="19" width="23.7109375" bestFit="1" customWidth="1"/>
    <col min="20" max="24" width="14.42578125" style="7" customWidth="1"/>
    <col min="25" max="25" width="14.42578125" customWidth="1"/>
  </cols>
  <sheetData>
    <row r="1" spans="1:25" ht="16.5" customHeight="1" thickBot="1" x14ac:dyDescent="0.3">
      <c r="A1" s="1"/>
      <c r="B1" s="2" t="s">
        <v>195</v>
      </c>
      <c r="C1" s="3"/>
      <c r="D1" s="3"/>
      <c r="E1" s="3"/>
      <c r="F1" s="3"/>
      <c r="G1" s="3"/>
      <c r="H1" s="4"/>
      <c r="I1" s="3"/>
      <c r="J1" s="3"/>
      <c r="K1" s="3"/>
      <c r="L1" s="3"/>
      <c r="M1" s="5"/>
      <c r="N1" s="4"/>
      <c r="O1" s="3"/>
      <c r="P1" s="3"/>
      <c r="Q1" s="3"/>
      <c r="R1" s="3"/>
      <c r="S1" s="6"/>
    </row>
    <row r="2" spans="1:25" ht="15.75" customHeight="1" thickBot="1" x14ac:dyDescent="0.3">
      <c r="A2" s="8"/>
      <c r="B2" s="9" t="s">
        <v>0</v>
      </c>
      <c r="C2" s="10" t="s">
        <v>1</v>
      </c>
      <c r="D2" s="10" t="s">
        <v>2</v>
      </c>
      <c r="E2" s="11" t="s">
        <v>3</v>
      </c>
      <c r="F2" s="12" t="s">
        <v>3</v>
      </c>
      <c r="G2" s="13" t="s">
        <v>4</v>
      </c>
      <c r="H2" s="14"/>
      <c r="I2" s="15" t="s">
        <v>5</v>
      </c>
      <c r="J2" s="16"/>
      <c r="K2" s="16"/>
      <c r="L2" s="17"/>
      <c r="M2" s="18" t="s">
        <v>6</v>
      </c>
      <c r="N2" s="14"/>
      <c r="O2" s="19" t="s">
        <v>7</v>
      </c>
      <c r="P2" s="20" t="s">
        <v>8</v>
      </c>
      <c r="Q2" s="21"/>
      <c r="R2" s="22"/>
      <c r="S2" s="23" t="s">
        <v>9</v>
      </c>
      <c r="T2" s="7" t="s">
        <v>10</v>
      </c>
    </row>
    <row r="3" spans="1:25" ht="15.75" thickBot="1" x14ac:dyDescent="0.3">
      <c r="A3" s="8"/>
      <c r="B3" s="24"/>
      <c r="C3" s="25"/>
      <c r="D3" s="26"/>
      <c r="E3" s="27"/>
      <c r="F3" s="28"/>
      <c r="G3" s="29" t="s">
        <v>11</v>
      </c>
      <c r="H3" s="30" t="s">
        <v>12</v>
      </c>
      <c r="I3" s="31" t="s">
        <v>13</v>
      </c>
      <c r="J3" s="32" t="s">
        <v>14</v>
      </c>
      <c r="K3" s="33" t="s">
        <v>15</v>
      </c>
      <c r="L3" s="34"/>
      <c r="M3" s="35" t="s">
        <v>16</v>
      </c>
      <c r="N3" s="36" t="s">
        <v>17</v>
      </c>
      <c r="O3" s="37"/>
      <c r="P3" s="766" t="s">
        <v>18</v>
      </c>
      <c r="Q3" s="767"/>
      <c r="R3" s="768"/>
      <c r="S3" s="38" t="s">
        <v>19</v>
      </c>
      <c r="T3" s="39"/>
      <c r="U3" s="39"/>
      <c r="V3" s="39"/>
      <c r="W3" s="39"/>
      <c r="X3" s="39"/>
      <c r="Y3" s="39"/>
    </row>
    <row r="4" spans="1:25" s="53" customFormat="1" ht="12" customHeight="1" thickBot="1" x14ac:dyDescent="0.25">
      <c r="A4" s="40"/>
      <c r="B4" s="334" t="s">
        <v>163</v>
      </c>
      <c r="C4" s="335"/>
      <c r="D4" s="336"/>
      <c r="E4" s="336"/>
      <c r="F4" s="336"/>
      <c r="G4" s="582">
        <f>SUM(G5:G14)</f>
        <v>166025250.58000001</v>
      </c>
      <c r="H4" s="43">
        <f t="shared" ref="H4:H18" si="0">G4/$G$89</f>
        <v>0.16652113301441107</v>
      </c>
      <c r="I4" s="44"/>
      <c r="J4" s="44"/>
      <c r="K4" s="44"/>
      <c r="L4" s="44"/>
      <c r="M4" s="45"/>
      <c r="N4" s="46"/>
      <c r="O4" s="47"/>
      <c r="P4" s="48"/>
      <c r="Q4" s="49"/>
      <c r="R4" s="50"/>
      <c r="S4" s="51"/>
      <c r="T4" s="52"/>
      <c r="U4" s="52"/>
      <c r="V4" s="52"/>
      <c r="W4" s="52"/>
      <c r="X4" s="52"/>
      <c r="Y4" s="52"/>
    </row>
    <row r="5" spans="1:25" s="1" customFormat="1" ht="16.5" customHeight="1" x14ac:dyDescent="0.25">
      <c r="A5" s="8">
        <v>1</v>
      </c>
      <c r="B5" s="54" t="s">
        <v>21</v>
      </c>
      <c r="C5" s="55" t="s">
        <v>22</v>
      </c>
      <c r="D5" s="56" t="s">
        <v>23</v>
      </c>
      <c r="E5" s="57"/>
      <c r="F5" s="57"/>
      <c r="G5" s="384">
        <f>'[1]FFIN2 Janeiro 2018'!$G$5</f>
        <v>25750497.16</v>
      </c>
      <c r="H5" s="58">
        <f t="shared" si="0"/>
        <v>2.5827408468215993E-2</v>
      </c>
      <c r="I5" s="363">
        <f>'[1]FFIN2 Janeiro 2018'!$I$5</f>
        <v>8.0999999999999996E-3</v>
      </c>
      <c r="J5" s="59" t="s">
        <v>24</v>
      </c>
      <c r="K5" s="59"/>
      <c r="L5" s="60"/>
      <c r="M5" s="61">
        <v>0</v>
      </c>
      <c r="N5" s="62"/>
      <c r="O5" s="769" t="s">
        <v>20</v>
      </c>
      <c r="P5" s="772">
        <f>SUM(G5:G14)/G89</f>
        <v>0.16652113301441107</v>
      </c>
      <c r="Q5" s="775">
        <v>1</v>
      </c>
      <c r="R5" s="778">
        <v>0.4</v>
      </c>
      <c r="S5" s="763" t="s">
        <v>169</v>
      </c>
      <c r="T5" s="63"/>
      <c r="U5" s="64"/>
      <c r="V5" s="63"/>
      <c r="W5" s="63"/>
      <c r="X5" s="63"/>
      <c r="Y5" s="65"/>
    </row>
    <row r="6" spans="1:25" s="1" customFormat="1" ht="18.75" thickBot="1" x14ac:dyDescent="0.3">
      <c r="A6" s="8">
        <v>2</v>
      </c>
      <c r="B6" s="66" t="s">
        <v>21</v>
      </c>
      <c r="C6" s="67" t="s">
        <v>22</v>
      </c>
      <c r="D6" s="68" t="s">
        <v>25</v>
      </c>
      <c r="E6" s="68"/>
      <c r="F6" s="69"/>
      <c r="G6" s="384">
        <f>'[1]FFIN2 Janeiro 2018'!$G$6</f>
        <v>11262419.060000001</v>
      </c>
      <c r="H6" s="58">
        <f t="shared" si="0"/>
        <v>1.1296057532228291E-2</v>
      </c>
      <c r="I6" s="358">
        <f>'[1]FFIN2 Janeiro 2018'!$I$6</f>
        <v>1.34E-2</v>
      </c>
      <c r="J6" s="72" t="s">
        <v>26</v>
      </c>
      <c r="K6" s="73"/>
      <c r="L6" s="74"/>
      <c r="M6" s="75"/>
      <c r="N6" s="76"/>
      <c r="O6" s="770"/>
      <c r="P6" s="773"/>
      <c r="Q6" s="776"/>
      <c r="R6" s="779"/>
      <c r="S6" s="764"/>
      <c r="T6" s="63"/>
      <c r="U6" s="64"/>
      <c r="V6" s="63"/>
      <c r="W6" s="63"/>
      <c r="X6" s="63"/>
      <c r="Y6" s="65"/>
    </row>
    <row r="7" spans="1:25" s="1" customFormat="1" ht="18" x14ac:dyDescent="0.25">
      <c r="A7" s="8">
        <v>3</v>
      </c>
      <c r="B7" s="54" t="s">
        <v>21</v>
      </c>
      <c r="C7" s="55" t="s">
        <v>22</v>
      </c>
      <c r="D7" s="56" t="s">
        <v>27</v>
      </c>
      <c r="E7" s="77"/>
      <c r="F7" s="68"/>
      <c r="G7" s="362">
        <f>'[1]FFIN2 Janeiro 2018'!$G$7</f>
        <v>24994468.989999998</v>
      </c>
      <c r="H7" s="58">
        <f t="shared" si="0"/>
        <v>2.5069122201401724E-2</v>
      </c>
      <c r="I7" s="358">
        <f>'[1]FFIN2 Janeiro 2018'!$I$7</f>
        <v>2.1999999999999999E-2</v>
      </c>
      <c r="J7" s="59" t="s">
        <v>28</v>
      </c>
      <c r="K7" s="79"/>
      <c r="L7" s="80">
        <v>3.1941999999999999</v>
      </c>
      <c r="M7" s="81"/>
      <c r="N7" s="82"/>
      <c r="O7" s="770"/>
      <c r="P7" s="773"/>
      <c r="Q7" s="776"/>
      <c r="R7" s="779"/>
      <c r="S7" s="764"/>
      <c r="T7" s="63"/>
      <c r="U7" s="64"/>
      <c r="V7" s="63"/>
      <c r="W7" s="63"/>
      <c r="X7" s="63"/>
      <c r="Y7" s="65"/>
    </row>
    <row r="8" spans="1:25" s="1" customFormat="1" ht="18.75" thickBot="1" x14ac:dyDescent="0.3">
      <c r="A8" s="8">
        <v>4</v>
      </c>
      <c r="B8" s="54" t="s">
        <v>21</v>
      </c>
      <c r="C8" s="67" t="s">
        <v>22</v>
      </c>
      <c r="D8" s="83" t="s">
        <v>29</v>
      </c>
      <c r="E8" s="83"/>
      <c r="F8" s="68"/>
      <c r="G8" s="357">
        <f>'[1]FFIN2 Janeiro 2018'!$G$8</f>
        <v>29314521.109999999</v>
      </c>
      <c r="H8" s="58">
        <f t="shared" si="0"/>
        <v>2.94020774066527E-2</v>
      </c>
      <c r="I8" s="358">
        <f>'[1]FFIN2 Janeiro 2018'!$I$8</f>
        <v>5.1700000000000003E-2</v>
      </c>
      <c r="J8" s="84" t="s">
        <v>30</v>
      </c>
      <c r="K8" s="79"/>
      <c r="L8" s="85"/>
      <c r="M8" s="75"/>
      <c r="N8" s="76"/>
      <c r="O8" s="770"/>
      <c r="P8" s="773"/>
      <c r="Q8" s="776"/>
      <c r="R8" s="779"/>
      <c r="S8" s="764"/>
      <c r="T8" s="63"/>
      <c r="U8" s="64"/>
      <c r="V8" s="63"/>
      <c r="W8" s="63"/>
      <c r="X8" s="63"/>
      <c r="Y8" s="65"/>
    </row>
    <row r="9" spans="1:25" s="1" customFormat="1" ht="18" x14ac:dyDescent="0.25">
      <c r="A9" s="8">
        <v>5</v>
      </c>
      <c r="B9" s="66" t="s">
        <v>21</v>
      </c>
      <c r="C9" s="368" t="s">
        <v>22</v>
      </c>
      <c r="D9" s="83" t="s">
        <v>31</v>
      </c>
      <c r="E9" s="83"/>
      <c r="F9" s="77"/>
      <c r="G9" s="362">
        <f>'[1]FFIN2 Janeiro 2018'!$G$9</f>
        <v>11898246.800000001</v>
      </c>
      <c r="H9" s="58">
        <f t="shared" si="0"/>
        <v>1.1933784355689848E-2</v>
      </c>
      <c r="I9" s="415">
        <f>'[1]FFIN2 Janeiro 2018'!$I$9</f>
        <v>5.1700000000000003E-2</v>
      </c>
      <c r="J9" s="369" t="s">
        <v>32</v>
      </c>
      <c r="K9" s="370"/>
      <c r="L9" s="371"/>
      <c r="M9" s="75"/>
      <c r="N9" s="86"/>
      <c r="O9" s="770"/>
      <c r="P9" s="773"/>
      <c r="Q9" s="776"/>
      <c r="R9" s="779"/>
      <c r="S9" s="764"/>
      <c r="T9" s="63"/>
      <c r="U9" s="64"/>
      <c r="V9" s="63"/>
      <c r="W9" s="63"/>
      <c r="X9" s="63"/>
      <c r="Y9" s="65"/>
    </row>
    <row r="10" spans="1:25" s="1" customFormat="1" ht="18" x14ac:dyDescent="0.25">
      <c r="A10" s="8">
        <v>6</v>
      </c>
      <c r="B10" s="54" t="s">
        <v>21</v>
      </c>
      <c r="C10" s="136" t="s">
        <v>22</v>
      </c>
      <c r="D10" s="68" t="s">
        <v>33</v>
      </c>
      <c r="E10" s="68"/>
      <c r="F10" s="68"/>
      <c r="G10" s="384">
        <f>'[1]FFIN2 Janeiro 2018'!$G$10</f>
        <v>20692603.140000001</v>
      </c>
      <c r="H10" s="58">
        <f t="shared" si="0"/>
        <v>2.0754407584706567E-2</v>
      </c>
      <c r="I10" s="358">
        <f>'[1]FFIN2 Janeiro 2018'!$I$10</f>
        <v>5.1700000000000003E-2</v>
      </c>
      <c r="J10" s="72" t="s">
        <v>34</v>
      </c>
      <c r="K10" s="79"/>
      <c r="L10" s="79"/>
      <c r="M10" s="61"/>
      <c r="N10" s="76"/>
      <c r="O10" s="770"/>
      <c r="P10" s="773"/>
      <c r="Q10" s="776"/>
      <c r="R10" s="779"/>
      <c r="S10" s="764"/>
      <c r="T10" s="64"/>
      <c r="U10" s="64"/>
      <c r="V10" s="63"/>
      <c r="W10" s="64"/>
      <c r="X10" s="64"/>
      <c r="Y10" s="90"/>
    </row>
    <row r="11" spans="1:25" s="1" customFormat="1" ht="18" x14ac:dyDescent="0.25">
      <c r="A11" s="8"/>
      <c r="B11" s="372" t="s">
        <v>192</v>
      </c>
      <c r="C11" s="55" t="s">
        <v>22</v>
      </c>
      <c r="D11" s="56" t="s">
        <v>187</v>
      </c>
      <c r="E11" s="56"/>
      <c r="F11" s="56"/>
      <c r="G11" s="357">
        <f>'[2]FFPREV Janeiro 2018'!$G$5</f>
        <v>12875248.58</v>
      </c>
      <c r="H11" s="58">
        <f t="shared" si="0"/>
        <v>1.2913704234107997E-2</v>
      </c>
      <c r="I11" s="373">
        <f>'[2]FFPREV Janeiro 2018'!$I$5</f>
        <v>8.0999999999999996E-3</v>
      </c>
      <c r="J11" s="359" t="s">
        <v>24</v>
      </c>
      <c r="K11" s="359"/>
      <c r="L11" s="374"/>
      <c r="M11" s="153"/>
      <c r="N11" s="375"/>
      <c r="O11" s="770"/>
      <c r="P11" s="773"/>
      <c r="Q11" s="776"/>
      <c r="R11" s="779"/>
      <c r="S11" s="764"/>
      <c r="T11" s="64"/>
      <c r="U11" s="64"/>
      <c r="V11" s="63"/>
      <c r="W11" s="64"/>
      <c r="X11" s="64"/>
      <c r="Y11" s="90"/>
    </row>
    <row r="12" spans="1:25" s="1" customFormat="1" ht="18.75" thickBot="1" x14ac:dyDescent="0.3">
      <c r="A12" s="8"/>
      <c r="B12" s="361" t="s">
        <v>192</v>
      </c>
      <c r="C12" s="67" t="s">
        <v>22</v>
      </c>
      <c r="D12" s="68" t="s">
        <v>188</v>
      </c>
      <c r="E12" s="83"/>
      <c r="F12" s="83"/>
      <c r="G12" s="362">
        <f>'[2]FFPREV Janeiro 2018'!$G$6</f>
        <v>6577491.8399999999</v>
      </c>
      <c r="H12" s="58">
        <f t="shared" si="0"/>
        <v>6.5971374219493941E-3</v>
      </c>
      <c r="I12" s="363">
        <f>'[2]FFPREV Janeiro 2018'!$I$6</f>
        <v>2.1999999999999999E-2</v>
      </c>
      <c r="J12" s="351" t="s">
        <v>26</v>
      </c>
      <c r="K12" s="352"/>
      <c r="L12" s="353"/>
      <c r="M12" s="153"/>
      <c r="N12" s="76"/>
      <c r="O12" s="770"/>
      <c r="P12" s="773"/>
      <c r="Q12" s="776"/>
      <c r="R12" s="779"/>
      <c r="S12" s="764"/>
      <c r="T12" s="64"/>
      <c r="U12" s="64"/>
      <c r="V12" s="63"/>
      <c r="W12" s="64"/>
      <c r="X12" s="64"/>
      <c r="Y12" s="90"/>
    </row>
    <row r="13" spans="1:25" s="1" customFormat="1" ht="18.75" thickBot="1" x14ac:dyDescent="0.3">
      <c r="A13" s="8"/>
      <c r="B13" s="361" t="s">
        <v>192</v>
      </c>
      <c r="C13" s="67" t="s">
        <v>22</v>
      </c>
      <c r="D13" s="68" t="s">
        <v>189</v>
      </c>
      <c r="E13" s="83"/>
      <c r="F13" s="83"/>
      <c r="G13" s="364">
        <f>'[2]FFPREV Janeiro 2018'!$G$7</f>
        <v>11623698.9</v>
      </c>
      <c r="H13" s="58">
        <f t="shared" si="0"/>
        <v>1.1658416438972277E-2</v>
      </c>
      <c r="I13" s="358">
        <f>'[2]FFPREV Janeiro 2018'!$I$7</f>
        <v>3.7499999999999999E-2</v>
      </c>
      <c r="J13" s="354" t="s">
        <v>190</v>
      </c>
      <c r="K13" s="352"/>
      <c r="L13" s="360"/>
      <c r="M13" s="153"/>
      <c r="N13" s="76"/>
      <c r="O13" s="770"/>
      <c r="P13" s="773"/>
      <c r="Q13" s="776"/>
      <c r="R13" s="779"/>
      <c r="S13" s="764"/>
      <c r="T13" s="64"/>
      <c r="U13" s="64"/>
      <c r="V13" s="63"/>
      <c r="W13" s="64"/>
      <c r="X13" s="64"/>
      <c r="Y13" s="90"/>
    </row>
    <row r="14" spans="1:25" s="1" customFormat="1" ht="18.75" thickBot="1" x14ac:dyDescent="0.3">
      <c r="A14" s="8"/>
      <c r="B14" s="365" t="s">
        <v>193</v>
      </c>
      <c r="C14" s="67" t="s">
        <v>22</v>
      </c>
      <c r="D14" s="88" t="s">
        <v>191</v>
      </c>
      <c r="E14" s="88"/>
      <c r="F14" s="88"/>
      <c r="G14" s="366">
        <f>'[2]FFPREV Janeiro 2018'!$G$8</f>
        <v>11036055</v>
      </c>
      <c r="H14" s="58">
        <f t="shared" si="0"/>
        <v>1.1069017370486274E-2</v>
      </c>
      <c r="I14" s="367">
        <f>'[2]FFPREV Janeiro 2018'!$I$8</f>
        <v>5.1700000000000003E-2</v>
      </c>
      <c r="J14" s="355" t="s">
        <v>30</v>
      </c>
      <c r="K14" s="355"/>
      <c r="L14" s="356"/>
      <c r="M14" s="170"/>
      <c r="N14" s="76"/>
      <c r="O14" s="771"/>
      <c r="P14" s="774"/>
      <c r="Q14" s="777"/>
      <c r="R14" s="780"/>
      <c r="S14" s="765"/>
      <c r="T14" s="64"/>
      <c r="U14" s="64"/>
      <c r="V14" s="63"/>
      <c r="W14" s="64"/>
      <c r="X14" s="64"/>
      <c r="Y14" s="90"/>
    </row>
    <row r="15" spans="1:25" s="53" customFormat="1" ht="18.75" thickBot="1" x14ac:dyDescent="0.25">
      <c r="A15" s="40"/>
      <c r="B15" s="334" t="s">
        <v>164</v>
      </c>
      <c r="C15" s="335"/>
      <c r="D15" s="336"/>
      <c r="E15" s="336"/>
      <c r="F15" s="336"/>
      <c r="G15" s="582">
        <f>SUM(G16:G27)</f>
        <v>401162121.70999998</v>
      </c>
      <c r="H15" s="58">
        <f t="shared" si="0"/>
        <v>0.4023603084244432</v>
      </c>
      <c r="I15" s="91"/>
      <c r="J15" s="92"/>
      <c r="K15" s="92"/>
      <c r="L15" s="44"/>
      <c r="M15" s="93"/>
      <c r="N15" s="131"/>
      <c r="O15" s="572"/>
      <c r="P15" s="320"/>
      <c r="Q15" s="349"/>
      <c r="R15" s="543"/>
      <c r="S15" s="573"/>
      <c r="T15" s="52"/>
      <c r="U15" s="52"/>
      <c r="V15" s="52"/>
      <c r="W15" s="52"/>
      <c r="X15" s="52"/>
      <c r="Y15" s="52"/>
    </row>
    <row r="16" spans="1:25" s="1" customFormat="1" ht="15.75" customHeight="1" thickBot="1" x14ac:dyDescent="0.3">
      <c r="A16" s="8">
        <v>7</v>
      </c>
      <c r="B16" s="97" t="s">
        <v>35</v>
      </c>
      <c r="C16" s="98" t="s">
        <v>36</v>
      </c>
      <c r="D16" s="99" t="s">
        <v>37</v>
      </c>
      <c r="E16" s="100" t="s">
        <v>38</v>
      </c>
      <c r="F16" s="101" t="s">
        <v>39</v>
      </c>
      <c r="G16" s="583">
        <f>'[1]FFIN2 Janeiro 2018'!$G$12</f>
        <v>38650893.140000001</v>
      </c>
      <c r="H16" s="102">
        <f t="shared" si="0"/>
        <v>3.8766335212308087E-2</v>
      </c>
      <c r="I16" s="416">
        <f>'[1]FFIN2 Janeiro 2018'!$I$12</f>
        <v>1.3100000000000001E-2</v>
      </c>
      <c r="J16" s="103"/>
      <c r="K16" s="104"/>
      <c r="L16" s="105" t="s">
        <v>40</v>
      </c>
      <c r="M16" s="417">
        <f>'[1]FFIN2 Janeiro 2018'!$M$12</f>
        <v>1237352988.2</v>
      </c>
      <c r="N16" s="106">
        <f t="shared" ref="N16:N27" si="1">G16/M16</f>
        <v>3.1236755807432251E-2</v>
      </c>
      <c r="O16" s="781" t="s">
        <v>41</v>
      </c>
      <c r="P16" s="784">
        <f>(SUM(G16:G27)/G89)</f>
        <v>0.4023603084244432</v>
      </c>
      <c r="Q16" s="787">
        <v>1</v>
      </c>
      <c r="R16" s="790">
        <v>0.5</v>
      </c>
      <c r="S16" s="793" t="s">
        <v>296</v>
      </c>
      <c r="T16" s="64"/>
      <c r="U16" s="64"/>
      <c r="V16" s="63"/>
      <c r="W16" s="64"/>
      <c r="X16" s="64"/>
      <c r="Y16" s="90"/>
    </row>
    <row r="17" spans="1:25" s="1" customFormat="1" ht="15.75" customHeight="1" thickBot="1" x14ac:dyDescent="0.3">
      <c r="A17" s="8">
        <v>8</v>
      </c>
      <c r="B17" s="107" t="s">
        <v>42</v>
      </c>
      <c r="C17" s="108" t="s">
        <v>43</v>
      </c>
      <c r="D17" s="56" t="s">
        <v>44</v>
      </c>
      <c r="E17" s="109" t="s">
        <v>38</v>
      </c>
      <c r="F17" s="110" t="s">
        <v>39</v>
      </c>
      <c r="G17" s="384">
        <f>'[1]FFIN2 Janeiro 2018'!$G$13</f>
        <v>29242019.800000001</v>
      </c>
      <c r="H17" s="102">
        <f t="shared" si="0"/>
        <v>2.9329359550519053E-2</v>
      </c>
      <c r="I17" s="376">
        <f>'[1]FFIN2 Janeiro 2018'!$I$13</f>
        <v>1.2869999999999999E-2</v>
      </c>
      <c r="J17" s="111"/>
      <c r="K17" s="112"/>
      <c r="L17" s="113" t="s">
        <v>45</v>
      </c>
      <c r="M17" s="418">
        <f>'[1]FFIN2 Janeiro 2018'!$M$13</f>
        <v>4729358053.6199999</v>
      </c>
      <c r="N17" s="114">
        <f t="shared" si="1"/>
        <v>6.1830843570021598E-3</v>
      </c>
      <c r="O17" s="782"/>
      <c r="P17" s="785"/>
      <c r="Q17" s="788"/>
      <c r="R17" s="791"/>
      <c r="S17" s="794"/>
      <c r="T17" s="64"/>
      <c r="U17" s="64"/>
      <c r="V17" s="63"/>
      <c r="W17" s="64"/>
      <c r="X17" s="64"/>
      <c r="Y17" s="90"/>
    </row>
    <row r="18" spans="1:25" s="1" customFormat="1" ht="15.75" customHeight="1" thickBot="1" x14ac:dyDescent="0.3">
      <c r="A18" s="8"/>
      <c r="B18" s="107" t="s">
        <v>194</v>
      </c>
      <c r="C18" s="108" t="s">
        <v>43</v>
      </c>
      <c r="D18" s="56" t="s">
        <v>44</v>
      </c>
      <c r="E18" s="109" t="s">
        <v>38</v>
      </c>
      <c r="F18" s="110" t="s">
        <v>39</v>
      </c>
      <c r="G18" s="357">
        <f>'[2]FFPREV Janeiro 2018'!$G$10</f>
        <v>17532472.039999999</v>
      </c>
      <c r="H18" s="102">
        <f t="shared" si="0"/>
        <v>1.7584837839094213E-2</v>
      </c>
      <c r="I18" s="376">
        <f>'[2]FFPREV Janeiro 2018'!$I$10</f>
        <v>1.2869999999999999E-2</v>
      </c>
      <c r="J18" s="111"/>
      <c r="K18" s="377"/>
      <c r="L18" s="211" t="s">
        <v>45</v>
      </c>
      <c r="M18" s="419">
        <f>'[2]FFPREV Janeiro 2018'!$M$10</f>
        <v>4729358053.6199999</v>
      </c>
      <c r="N18" s="378">
        <f t="shared" si="1"/>
        <v>3.7071568363448589E-3</v>
      </c>
      <c r="O18" s="782"/>
      <c r="P18" s="785"/>
      <c r="Q18" s="788"/>
      <c r="R18" s="791"/>
      <c r="S18" s="794"/>
      <c r="T18" s="64"/>
      <c r="U18" s="64"/>
      <c r="V18" s="63"/>
      <c r="W18" s="64"/>
      <c r="X18" s="64"/>
      <c r="Y18" s="90"/>
    </row>
    <row r="19" spans="1:25" s="1" customFormat="1" ht="15.75" customHeight="1" thickBot="1" x14ac:dyDescent="0.3">
      <c r="A19" s="8"/>
      <c r="B19" s="107" t="s">
        <v>42</v>
      </c>
      <c r="C19" s="108" t="s">
        <v>43</v>
      </c>
      <c r="D19" s="56" t="s">
        <v>61</v>
      </c>
      <c r="E19" s="109" t="s">
        <v>38</v>
      </c>
      <c r="F19" s="109" t="s">
        <v>39</v>
      </c>
      <c r="G19" s="584">
        <f>'[1]FFIN2 Janeiro 2018'!$G$14</f>
        <v>19629792.140000001</v>
      </c>
      <c r="H19" s="102">
        <f t="shared" ref="H19:H21" si="2">G19/$G$89</f>
        <v>1.9688422192232182E-2</v>
      </c>
      <c r="I19" s="376">
        <f>'[1]FFIN2 Janeiro 2018'!$I$14</f>
        <v>1.3122E-2</v>
      </c>
      <c r="J19" s="111"/>
      <c r="K19" s="112"/>
      <c r="L19" s="127" t="s">
        <v>53</v>
      </c>
      <c r="M19" s="428">
        <f>'[1]FFIN2 Janeiro 2018'!$M$14</f>
        <v>2196083459.8899999</v>
      </c>
      <c r="N19" s="114">
        <f t="shared" si="1"/>
        <v>8.9385455965244782E-3</v>
      </c>
      <c r="O19" s="782"/>
      <c r="P19" s="785"/>
      <c r="Q19" s="788"/>
      <c r="R19" s="791"/>
      <c r="S19" s="794"/>
      <c r="T19" s="64"/>
      <c r="U19" s="64"/>
      <c r="V19" s="63"/>
      <c r="W19" s="64"/>
      <c r="X19" s="64"/>
      <c r="Y19" s="90"/>
    </row>
    <row r="20" spans="1:25" s="1" customFormat="1" ht="15.75" customHeight="1" thickBot="1" x14ac:dyDescent="0.3">
      <c r="A20" s="8"/>
      <c r="B20" s="107" t="s">
        <v>214</v>
      </c>
      <c r="C20" s="108" t="s">
        <v>43</v>
      </c>
      <c r="D20" s="56" t="s">
        <v>61</v>
      </c>
      <c r="E20" s="110" t="s">
        <v>38</v>
      </c>
      <c r="F20" s="190" t="s">
        <v>39</v>
      </c>
      <c r="G20" s="357">
        <f>'[2]FFPREV Janeiro 2018'!$G$11</f>
        <v>19653487.77</v>
      </c>
      <c r="H20" s="102">
        <f t="shared" si="2"/>
        <v>1.9712188596085242E-2</v>
      </c>
      <c r="I20" s="376">
        <f>'[2]FFPREV Janeiro 2018'!$I$11</f>
        <v>1.3122E-2</v>
      </c>
      <c r="J20" s="111"/>
      <c r="K20" s="377"/>
      <c r="L20" s="381" t="s">
        <v>53</v>
      </c>
      <c r="M20" s="429">
        <f>'[2]FFPREV Janeiro 2018'!$M$11</f>
        <v>2196083459.8899999</v>
      </c>
      <c r="N20" s="378">
        <f t="shared" si="1"/>
        <v>8.9493355461929616E-3</v>
      </c>
      <c r="O20" s="782"/>
      <c r="P20" s="785"/>
      <c r="Q20" s="788"/>
      <c r="R20" s="791"/>
      <c r="S20" s="794"/>
      <c r="T20" s="64"/>
      <c r="U20" s="64"/>
      <c r="V20" s="63"/>
      <c r="W20" s="64"/>
      <c r="X20" s="64"/>
      <c r="Y20" s="90"/>
    </row>
    <row r="21" spans="1:25" s="1" customFormat="1" ht="15.75" customHeight="1" thickBot="1" x14ac:dyDescent="0.3">
      <c r="A21" s="8"/>
      <c r="B21" s="54" t="s">
        <v>55</v>
      </c>
      <c r="C21" s="98" t="s">
        <v>36</v>
      </c>
      <c r="D21" s="68" t="s">
        <v>56</v>
      </c>
      <c r="E21" s="124" t="s">
        <v>38</v>
      </c>
      <c r="F21" s="124" t="s">
        <v>39</v>
      </c>
      <c r="G21" s="386">
        <f>'[1]FFIN2 Janeiro 2018'!$G$18</f>
        <v>6873383.6200000001</v>
      </c>
      <c r="H21" s="102">
        <f t="shared" si="2"/>
        <v>6.8939129683383985E-3</v>
      </c>
      <c r="I21" s="358">
        <f>'[1]FFIN2 Janeiro 2018'!$I$18</f>
        <v>1.2999999999999999E-2</v>
      </c>
      <c r="J21" s="125"/>
      <c r="K21" s="126"/>
      <c r="L21" s="127" t="s">
        <v>53</v>
      </c>
      <c r="M21" s="420">
        <f>'[1]FFIN2 Janeiro 2018'!$M$18</f>
        <v>1750421752.55</v>
      </c>
      <c r="N21" s="128">
        <f t="shared" si="1"/>
        <v>3.9267014420878345E-3</v>
      </c>
      <c r="O21" s="782"/>
      <c r="P21" s="785"/>
      <c r="Q21" s="788"/>
      <c r="R21" s="791"/>
      <c r="S21" s="794"/>
      <c r="T21" s="64"/>
      <c r="U21" s="64"/>
      <c r="V21" s="63"/>
      <c r="W21" s="64"/>
      <c r="X21" s="64"/>
      <c r="Y21" s="90"/>
    </row>
    <row r="22" spans="1:25" s="1" customFormat="1" ht="15.75" customHeight="1" thickBot="1" x14ac:dyDescent="0.3">
      <c r="A22" s="8">
        <v>9</v>
      </c>
      <c r="B22" s="107" t="s">
        <v>46</v>
      </c>
      <c r="C22" s="98" t="s">
        <v>36</v>
      </c>
      <c r="D22" s="68" t="s">
        <v>47</v>
      </c>
      <c r="E22" s="115" t="s">
        <v>48</v>
      </c>
      <c r="F22" s="115" t="s">
        <v>49</v>
      </c>
      <c r="G22" s="384">
        <f>'[1]FFIN2 Janeiro 2018'!$G$15</f>
        <v>12536419.890000001</v>
      </c>
      <c r="H22" s="102">
        <f t="shared" ref="H22:H27" si="3">G22/$G$89</f>
        <v>1.2573863534217583E-2</v>
      </c>
      <c r="I22" s="363">
        <f>'[1]FFIN2 Janeiro 2018'!$I$15</f>
        <v>3.3300000000000003E-2</v>
      </c>
      <c r="J22" s="117"/>
      <c r="K22" s="112"/>
      <c r="L22" s="118" t="s">
        <v>40</v>
      </c>
      <c r="M22" s="418">
        <f>'[1]FFIN2 Janeiro 2018'!$M$15</f>
        <v>349236457.67000002</v>
      </c>
      <c r="N22" s="119">
        <f t="shared" si="1"/>
        <v>3.5896652868486874E-2</v>
      </c>
      <c r="O22" s="782"/>
      <c r="P22" s="785"/>
      <c r="Q22" s="788"/>
      <c r="R22" s="791"/>
      <c r="S22" s="794"/>
      <c r="T22" s="64"/>
      <c r="U22" s="64"/>
      <c r="V22" s="63"/>
      <c r="W22" s="64"/>
      <c r="X22" s="64"/>
      <c r="Y22" s="90"/>
    </row>
    <row r="23" spans="1:25" s="1" customFormat="1" ht="18.75" thickBot="1" x14ac:dyDescent="0.3">
      <c r="A23" s="8">
        <v>10</v>
      </c>
      <c r="B23" s="120" t="s">
        <v>50</v>
      </c>
      <c r="C23" s="88" t="s">
        <v>51</v>
      </c>
      <c r="D23" s="68" t="s">
        <v>52</v>
      </c>
      <c r="E23" s="110" t="s">
        <v>38</v>
      </c>
      <c r="F23" s="110" t="s">
        <v>38</v>
      </c>
      <c r="G23" s="585">
        <f>'[1]FFIN2 Janeiro 2018'!$G$16</f>
        <v>52298679.369999997</v>
      </c>
      <c r="H23" s="102">
        <f t="shared" si="3"/>
        <v>5.2454884503567813E-2</v>
      </c>
      <c r="I23" s="358">
        <f>'[1]FFIN2 Janeiro 2018'!$I$16</f>
        <v>1.3073E-2</v>
      </c>
      <c r="J23" s="121"/>
      <c r="K23" s="122"/>
      <c r="L23" s="123" t="s">
        <v>53</v>
      </c>
      <c r="M23" s="421">
        <f>'[1]FFIN2 Janeiro 2018'!$M$16</f>
        <v>6740982774.0600004</v>
      </c>
      <c r="N23" s="119">
        <f t="shared" si="1"/>
        <v>7.7583167207088454E-3</v>
      </c>
      <c r="O23" s="782"/>
      <c r="P23" s="785"/>
      <c r="Q23" s="788"/>
      <c r="R23" s="791"/>
      <c r="S23" s="794"/>
      <c r="T23" s="64"/>
      <c r="U23" s="64"/>
      <c r="V23" s="63"/>
      <c r="W23" s="64"/>
      <c r="X23" s="64"/>
      <c r="Y23" s="90"/>
    </row>
    <row r="24" spans="1:25" s="1" customFormat="1" ht="18.75" thickBot="1" x14ac:dyDescent="0.3">
      <c r="A24" s="8">
        <v>11</v>
      </c>
      <c r="B24" s="120" t="s">
        <v>50</v>
      </c>
      <c r="C24" s="88" t="s">
        <v>51</v>
      </c>
      <c r="D24" s="68" t="s">
        <v>54</v>
      </c>
      <c r="E24" s="110" t="s">
        <v>38</v>
      </c>
      <c r="F24" s="110" t="s">
        <v>38</v>
      </c>
      <c r="G24" s="585">
        <f>'[1]FFIN2 Janeiro 2018'!$G$17</f>
        <v>104927700.98999999</v>
      </c>
      <c r="H24" s="102">
        <f t="shared" si="3"/>
        <v>0.10524109791981824</v>
      </c>
      <c r="I24" s="358">
        <f>'[1]FFIN2 Janeiro 2018'!$I$17</f>
        <v>1.3703E-2</v>
      </c>
      <c r="J24" s="121"/>
      <c r="K24" s="122"/>
      <c r="L24" s="123" t="s">
        <v>53</v>
      </c>
      <c r="M24" s="421">
        <f>'[1]FFIN2 Janeiro 2018'!$M$17</f>
        <v>2759142861.0300002</v>
      </c>
      <c r="N24" s="119">
        <f t="shared" si="1"/>
        <v>3.8029093191220269E-2</v>
      </c>
      <c r="O24" s="782"/>
      <c r="P24" s="785"/>
      <c r="Q24" s="788"/>
      <c r="R24" s="791"/>
      <c r="S24" s="794"/>
      <c r="T24" s="64"/>
      <c r="U24" s="64"/>
      <c r="V24" s="63"/>
      <c r="W24" s="64"/>
      <c r="X24" s="64"/>
      <c r="Y24" s="90"/>
    </row>
    <row r="25" spans="1:25" s="1" customFormat="1" ht="18.75" thickBot="1" x14ac:dyDescent="0.3">
      <c r="A25" s="8"/>
      <c r="B25" s="120" t="s">
        <v>196</v>
      </c>
      <c r="C25" s="88" t="s">
        <v>51</v>
      </c>
      <c r="D25" s="68" t="s">
        <v>54</v>
      </c>
      <c r="E25" s="115" t="s">
        <v>38</v>
      </c>
      <c r="F25" s="115" t="s">
        <v>38</v>
      </c>
      <c r="G25" s="364">
        <f>'[2]FFPREV Janeiro 2018'!$G$12</f>
        <v>50959803.170000002</v>
      </c>
      <c r="H25" s="102">
        <f t="shared" si="3"/>
        <v>5.1112009362520527E-2</v>
      </c>
      <c r="I25" s="358">
        <f>'[2]FFPREV Janeiro 2018'!$I$12</f>
        <v>1.3703E-2</v>
      </c>
      <c r="J25" s="379"/>
      <c r="K25" s="380"/>
      <c r="L25" s="381" t="s">
        <v>53</v>
      </c>
      <c r="M25" s="422">
        <f>'[2]FFPREV Janeiro 2018'!$M$12</f>
        <v>2759142861.0300002</v>
      </c>
      <c r="N25" s="119">
        <f t="shared" si="1"/>
        <v>1.8469432623353356E-2</v>
      </c>
      <c r="O25" s="782"/>
      <c r="P25" s="785"/>
      <c r="Q25" s="788"/>
      <c r="R25" s="791"/>
      <c r="S25" s="794"/>
      <c r="T25" s="64"/>
      <c r="U25" s="64"/>
      <c r="V25" s="63"/>
      <c r="W25" s="64"/>
      <c r="X25" s="64"/>
      <c r="Y25" s="90"/>
    </row>
    <row r="26" spans="1:25" s="1" customFormat="1" ht="18.75" thickBot="1" x14ac:dyDescent="0.3">
      <c r="A26" s="8">
        <v>12</v>
      </c>
      <c r="B26" s="54" t="s">
        <v>196</v>
      </c>
      <c r="C26" s="197" t="s">
        <v>51</v>
      </c>
      <c r="D26" s="83" t="s">
        <v>197</v>
      </c>
      <c r="E26" s="115" t="s">
        <v>38</v>
      </c>
      <c r="F26" s="115" t="s">
        <v>38</v>
      </c>
      <c r="G26" s="364">
        <f>'[2]FFPREV Janeiro 2018'!$G$13</f>
        <v>41791770.380000003</v>
      </c>
      <c r="H26" s="102">
        <f t="shared" si="3"/>
        <v>4.1916593590698284E-2</v>
      </c>
      <c r="I26" s="358">
        <f>'[2]FFPREV Janeiro 2018'!$I$13</f>
        <v>1.3073E-2</v>
      </c>
      <c r="J26" s="125"/>
      <c r="K26" s="383"/>
      <c r="L26" s="381" t="s">
        <v>53</v>
      </c>
      <c r="M26" s="423">
        <f>'[2]FFPREV Janeiro 2018'!$M$13</f>
        <v>6740982774.0600004</v>
      </c>
      <c r="N26" s="119">
        <f t="shared" si="1"/>
        <v>6.1996554183195753E-3</v>
      </c>
      <c r="O26" s="782"/>
      <c r="P26" s="785"/>
      <c r="Q26" s="788"/>
      <c r="R26" s="791"/>
      <c r="S26" s="794"/>
      <c r="T26" s="64"/>
      <c r="U26" s="64"/>
      <c r="V26" s="63"/>
      <c r="W26" s="64"/>
      <c r="X26" s="64"/>
      <c r="Y26" s="90"/>
    </row>
    <row r="27" spans="1:25" s="1" customFormat="1" ht="18.75" thickBot="1" x14ac:dyDescent="0.3">
      <c r="A27" s="129">
        <v>13</v>
      </c>
      <c r="B27" s="227" t="s">
        <v>57</v>
      </c>
      <c r="C27" s="312"/>
      <c r="D27" s="88" t="s">
        <v>58</v>
      </c>
      <c r="E27" s="155" t="s">
        <v>38</v>
      </c>
      <c r="F27" s="155" t="s">
        <v>39</v>
      </c>
      <c r="G27" s="586">
        <f>'[1]FFIN2 Janeiro 2018'!$G$19</f>
        <v>7065699.4000000004</v>
      </c>
      <c r="H27" s="102">
        <f t="shared" si="3"/>
        <v>7.086803155043577E-3</v>
      </c>
      <c r="I27" s="367">
        <f>'[1]FFIN2 Janeiro 2018'!$I$19</f>
        <v>3.4000000000000002E-2</v>
      </c>
      <c r="J27" s="313"/>
      <c r="K27" s="175"/>
      <c r="L27" s="314" t="s">
        <v>40</v>
      </c>
      <c r="M27" s="424">
        <f>'[1]FFIN2 Janeiro 2018'!$M$19</f>
        <v>58769641.909999996</v>
      </c>
      <c r="N27" s="161">
        <f t="shared" si="1"/>
        <v>0.12022702828137755</v>
      </c>
      <c r="O27" s="783"/>
      <c r="P27" s="786"/>
      <c r="Q27" s="789"/>
      <c r="R27" s="792"/>
      <c r="S27" s="795"/>
      <c r="T27" s="64"/>
      <c r="U27" s="64"/>
      <c r="V27" s="63"/>
      <c r="W27" s="64"/>
      <c r="X27" s="64"/>
      <c r="Y27" s="90"/>
    </row>
    <row r="28" spans="1:25" s="1" customFormat="1" ht="23.25" thickBot="1" x14ac:dyDescent="0.3">
      <c r="A28" s="185"/>
      <c r="B28" s="337" t="s">
        <v>168</v>
      </c>
      <c r="C28" s="338"/>
      <c r="D28" s="339"/>
      <c r="E28" s="340"/>
      <c r="F28" s="340"/>
      <c r="G28" s="609">
        <v>0</v>
      </c>
      <c r="H28" s="43"/>
      <c r="I28" s="43"/>
      <c r="J28" s="43"/>
      <c r="K28" s="318"/>
      <c r="L28" s="321"/>
      <c r="M28" s="315"/>
      <c r="N28" s="187"/>
      <c r="O28" s="316" t="s">
        <v>41</v>
      </c>
      <c r="P28" s="307">
        <v>0</v>
      </c>
      <c r="Q28" s="173">
        <v>1</v>
      </c>
      <c r="R28" s="96">
        <v>0</v>
      </c>
      <c r="S28" s="568" t="s">
        <v>297</v>
      </c>
      <c r="T28" s="64"/>
      <c r="U28" s="64"/>
      <c r="V28" s="63"/>
      <c r="W28" s="64"/>
      <c r="X28" s="64"/>
      <c r="Y28" s="90"/>
    </row>
    <row r="29" spans="1:25" s="1" customFormat="1" ht="23.25" thickBot="1" x14ac:dyDescent="0.3">
      <c r="A29" s="185"/>
      <c r="B29" s="337" t="s">
        <v>165</v>
      </c>
      <c r="C29" s="338"/>
      <c r="D29" s="341"/>
      <c r="E29" s="342"/>
      <c r="F29" s="342"/>
      <c r="G29" s="609">
        <v>0</v>
      </c>
      <c r="H29" s="43"/>
      <c r="I29" s="116"/>
      <c r="J29" s="116"/>
      <c r="K29" s="198"/>
      <c r="L29" s="113"/>
      <c r="M29" s="319"/>
      <c r="N29" s="218"/>
      <c r="O29" s="316" t="s">
        <v>41</v>
      </c>
      <c r="P29" s="322">
        <v>0</v>
      </c>
      <c r="Q29" s="172">
        <v>0.05</v>
      </c>
      <c r="R29" s="173">
        <v>0</v>
      </c>
      <c r="S29" s="569" t="s">
        <v>298</v>
      </c>
      <c r="T29" s="64"/>
      <c r="U29" s="64"/>
      <c r="V29" s="63"/>
      <c r="W29" s="64"/>
      <c r="X29" s="64"/>
      <c r="Y29" s="90"/>
    </row>
    <row r="30" spans="1:25" s="53" customFormat="1" ht="18.75" thickBot="1" x14ac:dyDescent="0.25">
      <c r="A30" s="40"/>
      <c r="B30" s="334" t="s">
        <v>166</v>
      </c>
      <c r="C30" s="335"/>
      <c r="D30" s="336"/>
      <c r="E30" s="336"/>
      <c r="F30" s="336"/>
      <c r="G30" s="582"/>
      <c r="H30" s="43">
        <f>G30/$G$89</f>
        <v>0</v>
      </c>
      <c r="I30" s="91"/>
      <c r="J30" s="44"/>
      <c r="K30" s="44"/>
      <c r="L30" s="44"/>
      <c r="M30" s="130"/>
      <c r="N30" s="131"/>
      <c r="O30" s="42"/>
      <c r="P30" s="544"/>
      <c r="Q30" s="544"/>
      <c r="R30" s="544"/>
      <c r="S30" s="140"/>
      <c r="T30" s="52"/>
      <c r="U30" s="52"/>
      <c r="V30" s="52"/>
      <c r="W30" s="52"/>
      <c r="X30" s="52"/>
      <c r="Y30" s="52"/>
    </row>
    <row r="31" spans="1:25" s="1" customFormat="1" ht="23.25" thickBot="1" x14ac:dyDescent="0.3">
      <c r="A31" s="8"/>
      <c r="B31" s="343" t="s">
        <v>172</v>
      </c>
      <c r="C31" s="338"/>
      <c r="D31" s="344"/>
      <c r="E31" s="340"/>
      <c r="F31" s="340"/>
      <c r="G31" s="610">
        <v>0</v>
      </c>
      <c r="H31" s="328"/>
      <c r="I31" s="43"/>
      <c r="J31" s="215"/>
      <c r="K31" s="329"/>
      <c r="L31" s="310"/>
      <c r="M31" s="330"/>
      <c r="N31" s="43"/>
      <c r="O31" s="316" t="s">
        <v>167</v>
      </c>
      <c r="P31" s="322">
        <v>0</v>
      </c>
      <c r="Q31" s="173">
        <v>0.6</v>
      </c>
      <c r="R31" s="306">
        <v>0</v>
      </c>
      <c r="S31" s="570" t="s">
        <v>299</v>
      </c>
      <c r="T31" s="139"/>
      <c r="U31" s="64"/>
      <c r="V31" s="63"/>
      <c r="W31" s="63"/>
      <c r="X31" s="63"/>
      <c r="Y31" s="65"/>
    </row>
    <row r="32" spans="1:25" s="53" customFormat="1" ht="18.75" thickBot="1" x14ac:dyDescent="0.25">
      <c r="A32" s="40"/>
      <c r="B32" s="334" t="s">
        <v>170</v>
      </c>
      <c r="C32" s="335"/>
      <c r="D32" s="336"/>
      <c r="E32" s="336"/>
      <c r="F32" s="336"/>
      <c r="G32" s="587">
        <f>SUM(G33:G47)</f>
        <v>233719547.98999998</v>
      </c>
      <c r="H32" s="215">
        <f>G32/$G$89</f>
        <v>0.23441761902450739</v>
      </c>
      <c r="I32" s="327"/>
      <c r="J32" s="92"/>
      <c r="K32" s="162"/>
      <c r="L32" s="44"/>
      <c r="M32" s="130"/>
      <c r="N32" s="131"/>
      <c r="O32" s="42"/>
      <c r="P32" s="132"/>
      <c r="Q32" s="132"/>
      <c r="R32" s="544"/>
      <c r="S32" s="140"/>
      <c r="T32" s="52"/>
      <c r="U32" s="52"/>
      <c r="V32" s="52"/>
      <c r="W32" s="52"/>
      <c r="X32" s="52"/>
      <c r="Y32" s="52"/>
    </row>
    <row r="33" spans="1:25" s="1" customFormat="1" ht="18" x14ac:dyDescent="0.25">
      <c r="A33" s="8">
        <v>18</v>
      </c>
      <c r="B33" s="54" t="s">
        <v>67</v>
      </c>
      <c r="C33" s="136" t="s">
        <v>68</v>
      </c>
      <c r="D33" s="68" t="s">
        <v>69</v>
      </c>
      <c r="E33" s="124" t="s">
        <v>70</v>
      </c>
      <c r="F33" s="124" t="s">
        <v>70</v>
      </c>
      <c r="G33" s="386">
        <f>'[1]FFIN2 Janeiro 2018'!$G$25</f>
        <v>4167555.9</v>
      </c>
      <c r="H33" s="141">
        <f>G33/$G$89</f>
        <v>4.1800035111797243E-3</v>
      </c>
      <c r="I33" s="432">
        <f>'[1]FFIN2 Janeiro 2018'!$I$25</f>
        <v>5.7999999999999996E-3</v>
      </c>
      <c r="J33" s="143"/>
      <c r="K33" s="144"/>
      <c r="L33" s="145" t="s">
        <v>71</v>
      </c>
      <c r="M33" s="404">
        <f>'[1]FFIN2 Janeiro 2018'!$M$29</f>
        <v>223876304.69999999</v>
      </c>
      <c r="N33" s="119">
        <f t="shared" ref="N33:N47" si="4">G33/M33</f>
        <v>1.8615439921543426E-2</v>
      </c>
      <c r="O33" s="781" t="s">
        <v>60</v>
      </c>
      <c r="P33" s="796">
        <f>SUM(G33:G47)/G89</f>
        <v>0.23441761902450739</v>
      </c>
      <c r="Q33" s="775">
        <v>0.4</v>
      </c>
      <c r="R33" s="790">
        <v>0.3</v>
      </c>
      <c r="S33" s="793" t="s">
        <v>300</v>
      </c>
      <c r="T33" s="64"/>
      <c r="U33" s="64"/>
      <c r="V33" s="63"/>
      <c r="W33" s="64"/>
      <c r="X33" s="64"/>
      <c r="Y33" s="90"/>
    </row>
    <row r="34" spans="1:25" s="1" customFormat="1" ht="18" x14ac:dyDescent="0.25">
      <c r="A34" s="8">
        <v>19</v>
      </c>
      <c r="B34" s="54" t="s">
        <v>72</v>
      </c>
      <c r="C34" s="136" t="s">
        <v>68</v>
      </c>
      <c r="D34" s="68" t="s">
        <v>73</v>
      </c>
      <c r="E34" s="124" t="s">
        <v>70</v>
      </c>
      <c r="F34" s="124" t="s">
        <v>74</v>
      </c>
      <c r="G34" s="386">
        <f>'[1]FFIN2 Janeiro 2018'!$G$26</f>
        <v>397113.34</v>
      </c>
      <c r="H34" s="141">
        <f>G34/$G$89</f>
        <v>3.9829943385673793E-4</v>
      </c>
      <c r="I34" s="415">
        <f>'[1]FFIN2 Janeiro 2018'!$I$26</f>
        <v>5.1000000000000004E-3</v>
      </c>
      <c r="J34" s="111"/>
      <c r="K34" s="126"/>
      <c r="L34" s="127" t="s">
        <v>71</v>
      </c>
      <c r="M34" s="404">
        <f>'[1]FFIN2 Janeiro 2018'!$M$30</f>
        <v>10907536241.889999</v>
      </c>
      <c r="N34" s="119">
        <f t="shared" si="4"/>
        <v>3.6407244605330815E-5</v>
      </c>
      <c r="O34" s="782"/>
      <c r="P34" s="797"/>
      <c r="Q34" s="776"/>
      <c r="R34" s="791"/>
      <c r="S34" s="794"/>
      <c r="T34" s="64"/>
      <c r="U34" s="64"/>
      <c r="V34" s="63"/>
      <c r="W34" s="64"/>
      <c r="X34" s="64"/>
      <c r="Y34" s="90"/>
    </row>
    <row r="35" spans="1:25" s="1" customFormat="1" ht="18" x14ac:dyDescent="0.25">
      <c r="A35" s="8">
        <v>20</v>
      </c>
      <c r="B35" s="54" t="s">
        <v>72</v>
      </c>
      <c r="C35" s="136" t="s">
        <v>68</v>
      </c>
      <c r="D35" s="68" t="s">
        <v>69</v>
      </c>
      <c r="E35" s="124" t="s">
        <v>70</v>
      </c>
      <c r="F35" s="124" t="s">
        <v>70</v>
      </c>
      <c r="G35" s="386">
        <f>'[1]FFIN2 Janeiro 2018'!$G$28</f>
        <v>0</v>
      </c>
      <c r="H35" s="141">
        <f t="shared" ref="H35:H40" si="5">G35/$G$89</f>
        <v>0</v>
      </c>
      <c r="I35" s="415">
        <f>'[1]FFIN2 Janeiro 2018'!$I$28</f>
        <v>5.3E-3</v>
      </c>
      <c r="J35" s="146"/>
      <c r="K35" s="147"/>
      <c r="L35" s="127" t="s">
        <v>71</v>
      </c>
      <c r="M35" s="404">
        <f>'[1]FFIN2 Janeiro 2018'!$M$31</f>
        <v>1473930062</v>
      </c>
      <c r="N35" s="119">
        <f t="shared" si="4"/>
        <v>0</v>
      </c>
      <c r="O35" s="782"/>
      <c r="P35" s="797"/>
      <c r="Q35" s="776"/>
      <c r="R35" s="791"/>
      <c r="S35" s="794"/>
      <c r="T35" s="64"/>
      <c r="U35" s="64"/>
      <c r="V35" s="63"/>
      <c r="W35" s="64"/>
      <c r="X35" s="64"/>
      <c r="Y35" s="90"/>
    </row>
    <row r="36" spans="1:25" s="1" customFormat="1" ht="18" x14ac:dyDescent="0.25">
      <c r="A36" s="8"/>
      <c r="B36" s="54" t="s">
        <v>215</v>
      </c>
      <c r="C36" s="136" t="s">
        <v>68</v>
      </c>
      <c r="D36" s="68" t="s">
        <v>69</v>
      </c>
      <c r="E36" s="124" t="s">
        <v>70</v>
      </c>
      <c r="F36" s="124" t="s">
        <v>70</v>
      </c>
      <c r="G36" s="386">
        <f>'[2]FFPREV Janeiro 2018'!$G$19</f>
        <v>37070.94</v>
      </c>
      <c r="H36" s="141">
        <f t="shared" si="5"/>
        <v>3.7181663085246896E-5</v>
      </c>
      <c r="I36" s="363">
        <f>'[2]FFPREV Janeiro 2018'!$I$19</f>
        <v>5.3E-3</v>
      </c>
      <c r="J36" s="111"/>
      <c r="K36" s="403"/>
      <c r="L36" s="381" t="s">
        <v>71</v>
      </c>
      <c r="M36" s="404">
        <f>'[2]FFPREV Janeiro 2018'!$M$21</f>
        <v>2539443158.4000001</v>
      </c>
      <c r="N36" s="382">
        <f t="shared" si="4"/>
        <v>1.4598058585157265E-5</v>
      </c>
      <c r="O36" s="782"/>
      <c r="P36" s="797"/>
      <c r="Q36" s="776"/>
      <c r="R36" s="791"/>
      <c r="S36" s="794"/>
      <c r="T36" s="64"/>
      <c r="U36" s="64"/>
      <c r="V36" s="63"/>
      <c r="W36" s="64"/>
      <c r="X36" s="64"/>
      <c r="Y36" s="90"/>
    </row>
    <row r="37" spans="1:25" s="1" customFormat="1" ht="18" x14ac:dyDescent="0.25">
      <c r="A37" s="8"/>
      <c r="B37" s="54" t="s">
        <v>42</v>
      </c>
      <c r="C37" s="55" t="s">
        <v>43</v>
      </c>
      <c r="D37" s="56" t="s">
        <v>59</v>
      </c>
      <c r="E37" s="109" t="s">
        <v>38</v>
      </c>
      <c r="F37" s="115" t="s">
        <v>39</v>
      </c>
      <c r="G37" s="384">
        <f>'[1]FFIN2 Janeiro 2018'!$G$27</f>
        <v>52300743.960000001</v>
      </c>
      <c r="H37" s="141">
        <f t="shared" si="5"/>
        <v>5.2456955260063047E-2</v>
      </c>
      <c r="I37" s="358">
        <f>'[1]FFIN2 Janeiro 2018'!$I$27</f>
        <v>3.3468999999999999E-2</v>
      </c>
      <c r="J37" s="111"/>
      <c r="K37" s="147"/>
      <c r="L37" s="118" t="s">
        <v>40</v>
      </c>
      <c r="M37" s="445">
        <f>'[1]FFIN2 Janeiro 2018'!$M$27</f>
        <v>1072547291.88</v>
      </c>
      <c r="N37" s="119">
        <f t="shared" si="4"/>
        <v>4.8763112224473895E-2</v>
      </c>
      <c r="O37" s="782"/>
      <c r="P37" s="797"/>
      <c r="Q37" s="776"/>
      <c r="R37" s="791"/>
      <c r="S37" s="794"/>
      <c r="T37" s="64"/>
      <c r="U37" s="64"/>
      <c r="V37" s="63"/>
      <c r="W37" s="64"/>
      <c r="X37" s="64"/>
      <c r="Y37" s="90"/>
    </row>
    <row r="38" spans="1:25" s="1" customFormat="1" ht="18" x14ac:dyDescent="0.25">
      <c r="A38" s="8"/>
      <c r="B38" s="54" t="s">
        <v>199</v>
      </c>
      <c r="C38" s="197" t="s">
        <v>200</v>
      </c>
      <c r="D38" s="83" t="s">
        <v>201</v>
      </c>
      <c r="E38" s="110" t="s">
        <v>38</v>
      </c>
      <c r="F38" s="110" t="s">
        <v>38</v>
      </c>
      <c r="G38" s="364">
        <f>'[2]FFPREV Janeiro 2018'!$G$21</f>
        <v>21406257.32</v>
      </c>
      <c r="H38" s="141">
        <f t="shared" si="5"/>
        <v>2.147019329934283E-2</v>
      </c>
      <c r="I38" s="358">
        <f>'[2]FFPREV Janeiro 2018'!$I$21</f>
        <v>3.3029000000000003E-2</v>
      </c>
      <c r="J38" s="326"/>
      <c r="K38" s="383"/>
      <c r="L38" s="381" t="s">
        <v>40</v>
      </c>
      <c r="M38" s="431">
        <f>'[2]FFPREV Janeiro 2018'!$M$21</f>
        <v>2539443158.4000001</v>
      </c>
      <c r="N38" s="378">
        <f t="shared" si="4"/>
        <v>8.4295083546926924E-3</v>
      </c>
      <c r="O38" s="782"/>
      <c r="P38" s="797"/>
      <c r="Q38" s="776"/>
      <c r="R38" s="791"/>
      <c r="S38" s="794"/>
      <c r="T38" s="64"/>
      <c r="U38" s="64"/>
      <c r="V38" s="63"/>
      <c r="W38" s="64"/>
      <c r="X38" s="64"/>
      <c r="Y38" s="90"/>
    </row>
    <row r="39" spans="1:25" s="1" customFormat="1" ht="18.75" thickBot="1" x14ac:dyDescent="0.3">
      <c r="A39" s="8">
        <v>21</v>
      </c>
      <c r="B39" s="148" t="s">
        <v>75</v>
      </c>
      <c r="C39" s="149"/>
      <c r="D39" s="150" t="s">
        <v>76</v>
      </c>
      <c r="E39" s="124" t="s">
        <v>38</v>
      </c>
      <c r="F39" s="115" t="s">
        <v>39</v>
      </c>
      <c r="G39" s="384">
        <f>'[1]FFIN2 Janeiro 2018'!$G$29</f>
        <v>16016713.970000001</v>
      </c>
      <c r="H39" s="141">
        <f t="shared" si="5"/>
        <v>1.606455251917829E-2</v>
      </c>
      <c r="I39" s="358">
        <f>'[1]FFIN2 Janeiro 2018'!$I$29</f>
        <v>7.6E-3</v>
      </c>
      <c r="J39" s="151"/>
      <c r="K39" s="152"/>
      <c r="L39" s="113" t="s">
        <v>71</v>
      </c>
      <c r="M39" s="434">
        <f>'[1]FFIN2 Janeiro 2018'!$M$29</f>
        <v>223876304.69999999</v>
      </c>
      <c r="N39" s="119">
        <f t="shared" si="4"/>
        <v>7.1542694040187996E-2</v>
      </c>
      <c r="O39" s="782"/>
      <c r="P39" s="797"/>
      <c r="Q39" s="776"/>
      <c r="R39" s="791"/>
      <c r="S39" s="794"/>
      <c r="T39" s="64"/>
      <c r="U39" s="64"/>
      <c r="V39" s="63"/>
      <c r="W39" s="64"/>
      <c r="X39" s="64"/>
      <c r="Y39" s="90"/>
    </row>
    <row r="40" spans="1:25" s="1" customFormat="1" ht="18.75" thickBot="1" x14ac:dyDescent="0.3">
      <c r="A40" s="8">
        <v>22</v>
      </c>
      <c r="B40" s="54" t="s">
        <v>55</v>
      </c>
      <c r="C40" s="98" t="s">
        <v>36</v>
      </c>
      <c r="D40" s="68" t="s">
        <v>79</v>
      </c>
      <c r="E40" s="124" t="s">
        <v>38</v>
      </c>
      <c r="F40" s="124" t="s">
        <v>39</v>
      </c>
      <c r="G40" s="386">
        <f>'[1]FFIN2 Janeiro 2018'!$G$31</f>
        <v>26323501.539999999</v>
      </c>
      <c r="H40" s="141">
        <f t="shared" si="5"/>
        <v>2.6402124291540967E-2</v>
      </c>
      <c r="I40" s="358">
        <f>'[1]FFIN2 Janeiro 2018'!$I$33</f>
        <v>3.39E-2</v>
      </c>
      <c r="J40" s="125"/>
      <c r="K40" s="126"/>
      <c r="L40" s="127" t="s">
        <v>80</v>
      </c>
      <c r="M40" s="435">
        <f>'[1]FFIN2 Janeiro 2018'!$M$31</f>
        <v>1473930062</v>
      </c>
      <c r="N40" s="119">
        <f t="shared" si="4"/>
        <v>1.7859396601410792E-2</v>
      </c>
      <c r="O40" s="782"/>
      <c r="P40" s="797"/>
      <c r="Q40" s="776"/>
      <c r="R40" s="791"/>
      <c r="S40" s="794"/>
      <c r="T40" s="64"/>
      <c r="U40" s="64"/>
      <c r="V40" s="63"/>
      <c r="W40" s="64"/>
      <c r="X40" s="64"/>
      <c r="Y40" s="90"/>
    </row>
    <row r="41" spans="1:25" s="1" customFormat="1" ht="18.75" thickBot="1" x14ac:dyDescent="0.3">
      <c r="A41" s="8"/>
      <c r="B41" s="54" t="s">
        <v>202</v>
      </c>
      <c r="C41" s="98" t="s">
        <v>36</v>
      </c>
      <c r="D41" s="68" t="s">
        <v>79</v>
      </c>
      <c r="E41" s="124" t="s">
        <v>38</v>
      </c>
      <c r="F41" s="124" t="s">
        <v>39</v>
      </c>
      <c r="G41" s="384">
        <f>'[3]FFINPrev Janeiro 2018'!$G$19</f>
        <v>8422590.2200000007</v>
      </c>
      <c r="H41" s="141">
        <f>G41/$G$89</f>
        <v>8.4477467219643085E-3</v>
      </c>
      <c r="I41" s="358">
        <f>'[1]FFIN2 Janeiro 2018'!$I$31</f>
        <v>1.49E-2</v>
      </c>
      <c r="J41" s="125"/>
      <c r="K41" s="380"/>
      <c r="L41" s="381" t="s">
        <v>80</v>
      </c>
      <c r="M41" s="436">
        <f>'[2]FFPREV Janeiro 2018'!$M$22</f>
        <v>1473930062</v>
      </c>
      <c r="N41" s="382">
        <f t="shared" si="4"/>
        <v>5.7143757612021628E-3</v>
      </c>
      <c r="O41" s="782"/>
      <c r="P41" s="797"/>
      <c r="Q41" s="776"/>
      <c r="R41" s="791"/>
      <c r="S41" s="794"/>
      <c r="T41" s="64"/>
      <c r="U41" s="64"/>
      <c r="V41" s="63"/>
      <c r="W41" s="64"/>
      <c r="X41" s="64"/>
      <c r="Y41" s="90"/>
    </row>
    <row r="42" spans="1:25" s="1" customFormat="1" ht="18.75" thickBot="1" x14ac:dyDescent="0.3">
      <c r="A42" s="8"/>
      <c r="B42" s="54" t="s">
        <v>55</v>
      </c>
      <c r="C42" s="98" t="s">
        <v>77</v>
      </c>
      <c r="D42" s="68" t="s">
        <v>78</v>
      </c>
      <c r="E42" s="124" t="s">
        <v>38</v>
      </c>
      <c r="F42" s="124" t="s">
        <v>38</v>
      </c>
      <c r="G42" s="386">
        <f>'[1]FFIN2 Janeiro 2018'!$G$30</f>
        <v>6313876.4500000002</v>
      </c>
      <c r="H42" s="141">
        <f>G42/$G$89</f>
        <v>6.3327346683352166E-3</v>
      </c>
      <c r="I42" s="358">
        <f>'[1]FFIN2 Janeiro 2018'!$I$30</f>
        <v>5.7000000000000002E-3</v>
      </c>
      <c r="J42" s="125"/>
      <c r="K42" s="126"/>
      <c r="L42" s="113" t="s">
        <v>71</v>
      </c>
      <c r="M42" s="435">
        <f>'[1]FFIN2 Janeiro 2018'!$M$30</f>
        <v>10907536241.889999</v>
      </c>
      <c r="N42" s="119">
        <f t="shared" si="4"/>
        <v>5.7885450114314408E-4</v>
      </c>
      <c r="O42" s="782"/>
      <c r="P42" s="797"/>
      <c r="Q42" s="776"/>
      <c r="R42" s="791"/>
      <c r="S42" s="794"/>
      <c r="T42" s="64"/>
      <c r="U42" s="64"/>
      <c r="V42" s="63"/>
      <c r="W42" s="64"/>
      <c r="X42" s="64"/>
      <c r="Y42" s="90"/>
    </row>
    <row r="43" spans="1:25" s="1" customFormat="1" ht="18" x14ac:dyDescent="0.25">
      <c r="A43" s="8">
        <v>23</v>
      </c>
      <c r="B43" s="54" t="s">
        <v>203</v>
      </c>
      <c r="C43" s="98" t="s">
        <v>204</v>
      </c>
      <c r="D43" s="68" t="s">
        <v>205</v>
      </c>
      <c r="E43" s="124" t="s">
        <v>38</v>
      </c>
      <c r="F43" s="124" t="s">
        <v>38</v>
      </c>
      <c r="G43" s="386">
        <f>'[2]FFPREV Janeiro 2018'!$G$23</f>
        <v>1061034.25</v>
      </c>
      <c r="H43" s="141">
        <f>G43/$G$89</f>
        <v>1.0642033356965759E-3</v>
      </c>
      <c r="I43" s="358">
        <f>'[2]FFPREV Janeiro 2018'!$I$23</f>
        <v>5.7000000000000002E-3</v>
      </c>
      <c r="J43" s="125"/>
      <c r="K43" s="380"/>
      <c r="L43" s="387" t="s">
        <v>71</v>
      </c>
      <c r="M43" s="435">
        <f>'[2]FFPREV Janeiro 2018'!$M$23</f>
        <v>10907536241.889999</v>
      </c>
      <c r="N43" s="382">
        <f t="shared" si="4"/>
        <v>9.7275335737610137E-5</v>
      </c>
      <c r="O43" s="782"/>
      <c r="P43" s="797"/>
      <c r="Q43" s="776"/>
      <c r="R43" s="791"/>
      <c r="S43" s="794"/>
      <c r="T43" s="64"/>
      <c r="U43" s="64"/>
      <c r="V43" s="63"/>
      <c r="W43" s="64"/>
      <c r="X43" s="64"/>
      <c r="Y43" s="90"/>
    </row>
    <row r="44" spans="1:25" s="1" customFormat="1" ht="18" x14ac:dyDescent="0.25">
      <c r="A44" s="8"/>
      <c r="B44" s="54" t="s">
        <v>198</v>
      </c>
      <c r="C44" s="136" t="s">
        <v>65</v>
      </c>
      <c r="D44" s="137" t="s">
        <v>66</v>
      </c>
      <c r="E44" s="109" t="s">
        <v>38</v>
      </c>
      <c r="F44" s="109" t="s">
        <v>39</v>
      </c>
      <c r="G44" s="357">
        <f>'[2]FFPREV Janeiro 2018'!$G$20</f>
        <v>8633146.1400000006</v>
      </c>
      <c r="H44" s="141">
        <f t="shared" ref="H44:H47" si="6">G44/$G$89</f>
        <v>8.6589315281236385E-3</v>
      </c>
      <c r="I44" s="376">
        <f>'[2]FFPREV Janeiro 2018'!$I$20</f>
        <v>5.7000000000000002E-3</v>
      </c>
      <c r="J44" s="111"/>
      <c r="K44" s="406"/>
      <c r="L44" s="407" t="s">
        <v>53</v>
      </c>
      <c r="M44" s="431">
        <f>'[2]FFPREV Janeiro 2018'!$M$20</f>
        <v>279603229.01999998</v>
      </c>
      <c r="N44" s="378">
        <f t="shared" si="4"/>
        <v>3.0876417880647839E-2</v>
      </c>
      <c r="O44" s="782"/>
      <c r="P44" s="797"/>
      <c r="Q44" s="776"/>
      <c r="R44" s="791"/>
      <c r="S44" s="794"/>
      <c r="T44" s="64"/>
      <c r="U44" s="64"/>
      <c r="V44" s="63"/>
      <c r="W44" s="64"/>
      <c r="X44" s="64"/>
      <c r="Y44" s="90"/>
    </row>
    <row r="45" spans="1:25" s="1" customFormat="1" ht="15.75" x14ac:dyDescent="0.25">
      <c r="A45" s="8"/>
      <c r="B45" s="54" t="s">
        <v>62</v>
      </c>
      <c r="C45" s="136" t="s">
        <v>65</v>
      </c>
      <c r="D45" s="325" t="s">
        <v>66</v>
      </c>
      <c r="E45" s="190" t="s">
        <v>38</v>
      </c>
      <c r="F45" s="190" t="s">
        <v>39</v>
      </c>
      <c r="G45" s="616">
        <f>'[1]FFIN2 Janeiro 2018'!$G$34</f>
        <v>27219032.09</v>
      </c>
      <c r="H45" s="141">
        <f t="shared" si="6"/>
        <v>2.7300329602564802E-2</v>
      </c>
      <c r="I45" s="363">
        <f>'[1]FFIN2 Janeiro 2018'!$I$34</f>
        <v>1.32E-2</v>
      </c>
      <c r="J45" s="111"/>
      <c r="K45" s="440"/>
      <c r="L45" s="127" t="s">
        <v>53</v>
      </c>
      <c r="M45" s="430">
        <f>'[1]FFIN2 Janeiro 2018'!$M$34</f>
        <v>321114531.17000002</v>
      </c>
      <c r="N45" s="128">
        <f t="shared" si="4"/>
        <v>8.4764249038577696E-2</v>
      </c>
      <c r="O45" s="782"/>
      <c r="P45" s="797"/>
      <c r="Q45" s="776"/>
      <c r="R45" s="791"/>
      <c r="S45" s="794"/>
      <c r="T45" s="64"/>
      <c r="U45" s="64"/>
      <c r="V45" s="63"/>
      <c r="W45" s="64"/>
      <c r="X45" s="64"/>
      <c r="Y45" s="90"/>
    </row>
    <row r="46" spans="1:25" s="1" customFormat="1" ht="15.75" x14ac:dyDescent="0.25">
      <c r="A46" s="8"/>
      <c r="B46" s="107" t="s">
        <v>62</v>
      </c>
      <c r="C46" s="136" t="s">
        <v>63</v>
      </c>
      <c r="D46" s="137" t="s">
        <v>64</v>
      </c>
      <c r="E46" s="115" t="s">
        <v>38</v>
      </c>
      <c r="F46" s="115" t="s">
        <v>39</v>
      </c>
      <c r="G46" s="615">
        <f>'[1]FFIN2 Janeiro 2018'!$G$33</f>
        <v>47692504.850000001</v>
      </c>
      <c r="H46" s="141">
        <f t="shared" si="6"/>
        <v>4.7834952311007047E-2</v>
      </c>
      <c r="I46" s="415">
        <f>'[1]FFIN2 Janeiro 2018'!$I$33</f>
        <v>3.39E-2</v>
      </c>
      <c r="J46" s="200"/>
      <c r="K46" s="439"/>
      <c r="L46" s="118" t="s">
        <v>40</v>
      </c>
      <c r="M46" s="428">
        <f>'[1]FFIN2 Janeiro 2018'!$M$33</f>
        <v>1445928639.25</v>
      </c>
      <c r="N46" s="119">
        <f t="shared" si="4"/>
        <v>3.2983996274351411E-2</v>
      </c>
      <c r="O46" s="782"/>
      <c r="P46" s="797"/>
      <c r="Q46" s="776"/>
      <c r="R46" s="791"/>
      <c r="S46" s="794"/>
      <c r="T46" s="64"/>
      <c r="U46" s="64"/>
      <c r="V46" s="63"/>
      <c r="W46" s="64"/>
      <c r="X46" s="64"/>
      <c r="Y46" s="90"/>
    </row>
    <row r="47" spans="1:25" s="1" customFormat="1" ht="18.75" thickBot="1" x14ac:dyDescent="0.3">
      <c r="A47" s="8">
        <v>24</v>
      </c>
      <c r="B47" s="148" t="s">
        <v>62</v>
      </c>
      <c r="C47" s="154"/>
      <c r="D47" s="332" t="s">
        <v>81</v>
      </c>
      <c r="E47" s="155" t="s">
        <v>38</v>
      </c>
      <c r="F47" s="155" t="s">
        <v>38</v>
      </c>
      <c r="G47" s="385">
        <f>'[1]FFIN2 Janeiro 2018'!$G$32</f>
        <v>13728407.02</v>
      </c>
      <c r="H47" s="141">
        <f t="shared" si="6"/>
        <v>1.3769410878568989E-2</v>
      </c>
      <c r="I47" s="433">
        <f>'[1]FFIN2 Janeiro 2018'!$I$34</f>
        <v>1.32E-2</v>
      </c>
      <c r="J47" s="157"/>
      <c r="K47" s="158"/>
      <c r="L47" s="159" t="s">
        <v>71</v>
      </c>
      <c r="M47" s="437">
        <f>'[1]FFIN2 Janeiro 2018'!$M$32</f>
        <v>9348518776.5200005</v>
      </c>
      <c r="N47" s="161">
        <f t="shared" si="4"/>
        <v>1.4685114667021527E-3</v>
      </c>
      <c r="O47" s="783"/>
      <c r="P47" s="798"/>
      <c r="Q47" s="777"/>
      <c r="R47" s="792"/>
      <c r="S47" s="795"/>
      <c r="T47" s="64"/>
      <c r="U47" s="64"/>
      <c r="V47" s="63"/>
      <c r="W47" s="64"/>
      <c r="X47" s="64"/>
      <c r="Y47" s="90"/>
    </row>
    <row r="48" spans="1:25" s="1" customFormat="1" ht="23.25" thickBot="1" x14ac:dyDescent="0.3">
      <c r="A48" s="8"/>
      <c r="B48" s="343" t="s">
        <v>171</v>
      </c>
      <c r="C48" s="338"/>
      <c r="D48" s="341"/>
      <c r="E48" s="345"/>
      <c r="F48" s="345"/>
      <c r="G48" s="609">
        <v>0</v>
      </c>
      <c r="H48" s="328"/>
      <c r="I48" s="43"/>
      <c r="J48" s="215"/>
      <c r="K48" s="158"/>
      <c r="L48" s="331"/>
      <c r="M48" s="160"/>
      <c r="N48" s="187"/>
      <c r="O48" s="323" t="s">
        <v>60</v>
      </c>
      <c r="P48" s="322">
        <v>0</v>
      </c>
      <c r="Q48" s="172">
        <v>0.4</v>
      </c>
      <c r="R48" s="173">
        <v>0</v>
      </c>
      <c r="S48" s="569" t="s">
        <v>301</v>
      </c>
      <c r="T48" s="64"/>
      <c r="U48" s="64"/>
      <c r="V48" s="63"/>
      <c r="W48" s="64"/>
      <c r="X48" s="64"/>
      <c r="Y48" s="90"/>
    </row>
    <row r="49" spans="1:25" s="1" customFormat="1" ht="18.75" thickBot="1" x14ac:dyDescent="0.3">
      <c r="A49" s="8"/>
      <c r="B49" s="343" t="s">
        <v>173</v>
      </c>
      <c r="C49" s="338"/>
      <c r="D49" s="339"/>
      <c r="E49" s="345"/>
      <c r="F49" s="345"/>
      <c r="G49" s="609">
        <v>0</v>
      </c>
      <c r="H49" s="215"/>
      <c r="I49" s="43"/>
      <c r="J49" s="215"/>
      <c r="K49" s="158"/>
      <c r="L49" s="331"/>
      <c r="M49" s="160"/>
      <c r="N49" s="156"/>
      <c r="O49" s="410" t="s">
        <v>60</v>
      </c>
      <c r="P49" s="322">
        <v>0</v>
      </c>
      <c r="Q49" s="173">
        <v>0.2</v>
      </c>
      <c r="R49" s="96">
        <v>0</v>
      </c>
      <c r="S49" s="174" t="s">
        <v>174</v>
      </c>
      <c r="T49" s="64"/>
      <c r="U49" s="64"/>
      <c r="V49" s="63"/>
      <c r="W49" s="64"/>
      <c r="X49" s="64"/>
      <c r="Y49" s="90"/>
    </row>
    <row r="50" spans="1:25" s="1" customFormat="1" ht="23.25" thickBot="1" x14ac:dyDescent="0.3">
      <c r="A50" s="8"/>
      <c r="B50" s="343" t="s">
        <v>175</v>
      </c>
      <c r="C50" s="338"/>
      <c r="D50" s="339"/>
      <c r="E50" s="345"/>
      <c r="F50" s="345"/>
      <c r="G50" s="611">
        <v>0</v>
      </c>
      <c r="H50" s="215"/>
      <c r="I50" s="43"/>
      <c r="J50" s="215"/>
      <c r="K50" s="158"/>
      <c r="L50" s="331"/>
      <c r="M50" s="160"/>
      <c r="N50" s="156"/>
      <c r="O50" s="311" t="s">
        <v>60</v>
      </c>
      <c r="P50" s="322">
        <v>0</v>
      </c>
      <c r="Q50" s="172">
        <v>0.15</v>
      </c>
      <c r="R50" s="173">
        <v>0</v>
      </c>
      <c r="S50" s="569" t="s">
        <v>302</v>
      </c>
      <c r="T50" s="64"/>
      <c r="U50" s="64"/>
      <c r="V50" s="63"/>
      <c r="W50" s="64"/>
      <c r="X50" s="64"/>
      <c r="Y50" s="90"/>
    </row>
    <row r="51" spans="1:25" s="1" customFormat="1" ht="23.25" thickBot="1" x14ac:dyDescent="0.3">
      <c r="A51" s="8"/>
      <c r="B51" s="343" t="s">
        <v>176</v>
      </c>
      <c r="C51" s="338"/>
      <c r="D51" s="339"/>
      <c r="E51" s="345"/>
      <c r="F51" s="345"/>
      <c r="G51" s="611">
        <v>0</v>
      </c>
      <c r="H51" s="215"/>
      <c r="I51" s="43"/>
      <c r="J51" s="215"/>
      <c r="K51" s="158"/>
      <c r="L51" s="331"/>
      <c r="M51" s="160"/>
      <c r="N51" s="156"/>
      <c r="O51" s="311" t="s">
        <v>60</v>
      </c>
      <c r="P51" s="571">
        <v>0</v>
      </c>
      <c r="Q51" s="95">
        <v>0.15</v>
      </c>
      <c r="R51" s="173">
        <v>0</v>
      </c>
      <c r="S51" s="569" t="s">
        <v>303</v>
      </c>
      <c r="T51" s="64"/>
      <c r="U51" s="64"/>
      <c r="V51" s="63"/>
      <c r="W51" s="64"/>
      <c r="X51" s="64"/>
      <c r="Y51" s="90"/>
    </row>
    <row r="52" spans="1:25" s="53" customFormat="1" ht="18.75" thickBot="1" x14ac:dyDescent="0.25">
      <c r="A52" s="40"/>
      <c r="B52" s="334" t="s">
        <v>177</v>
      </c>
      <c r="C52" s="335"/>
      <c r="D52" s="336"/>
      <c r="E52" s="336"/>
      <c r="F52" s="336"/>
      <c r="G52" s="582">
        <f>SUM(G53:G55)</f>
        <v>7050010</v>
      </c>
      <c r="H52" s="43">
        <f>G52/$G$89</f>
        <v>7.0710668941122469E-3</v>
      </c>
      <c r="I52" s="91"/>
      <c r="J52" s="44"/>
      <c r="K52" s="44"/>
      <c r="L52" s="162"/>
      <c r="M52" s="163"/>
      <c r="N52" s="164"/>
      <c r="O52" s="165"/>
      <c r="P52" s="166"/>
      <c r="Q52" s="308"/>
      <c r="R52" s="50"/>
      <c r="S52" s="133"/>
      <c r="T52" s="52"/>
      <c r="U52" s="52"/>
      <c r="V52" s="52"/>
      <c r="W52" s="52"/>
      <c r="X52" s="52"/>
      <c r="Y52" s="52"/>
    </row>
    <row r="53" spans="1:25" s="1" customFormat="1" ht="18.75" thickBot="1" x14ac:dyDescent="0.3">
      <c r="A53" s="8">
        <v>25</v>
      </c>
      <c r="B53" s="66" t="s">
        <v>82</v>
      </c>
      <c r="C53" s="108"/>
      <c r="D53" s="134" t="s">
        <v>83</v>
      </c>
      <c r="E53" s="438" t="s">
        <v>84</v>
      </c>
      <c r="F53" s="438" t="s">
        <v>85</v>
      </c>
      <c r="G53" s="588">
        <f>'[1]FFIN2 Janeiro 2018'!$G$40</f>
        <v>6930698.3399999999</v>
      </c>
      <c r="H53" s="191">
        <f>G53/$G$89</f>
        <v>6.9513988753282198E-3</v>
      </c>
      <c r="I53" s="426">
        <f>'[1]FFIN2 Janeiro 2018'!$I$40</f>
        <v>6.7000000000000002E-3</v>
      </c>
      <c r="J53" s="200"/>
      <c r="K53" s="439"/>
      <c r="L53" s="113" t="s">
        <v>71</v>
      </c>
      <c r="M53" s="444">
        <f>'[1]FFIN2 Janeiro 2018'!$M$40</f>
        <v>406695269.16000003</v>
      </c>
      <c r="N53" s="441">
        <f>G53/M53</f>
        <v>1.7041502239047091E-2</v>
      </c>
      <c r="O53" s="799" t="s">
        <v>60</v>
      </c>
      <c r="P53" s="796">
        <f>SUM(G53:G55)/G89</f>
        <v>7.0710668941122469E-3</v>
      </c>
      <c r="Q53" s="790">
        <v>0.05</v>
      </c>
      <c r="R53" s="778">
        <v>0.02</v>
      </c>
      <c r="S53" s="793" t="s">
        <v>304</v>
      </c>
      <c r="T53" s="64"/>
      <c r="U53" s="64"/>
      <c r="V53" s="64"/>
      <c r="W53" s="64"/>
      <c r="X53" s="63"/>
      <c r="Y53" s="65"/>
    </row>
    <row r="54" spans="1:25" s="1" customFormat="1" ht="15.75" customHeight="1" x14ac:dyDescent="0.25">
      <c r="A54" s="8">
        <v>26</v>
      </c>
      <c r="B54" s="54" t="s">
        <v>86</v>
      </c>
      <c r="C54" s="98" t="s">
        <v>87</v>
      </c>
      <c r="D54" s="56" t="s">
        <v>88</v>
      </c>
      <c r="E54" s="109" t="s">
        <v>89</v>
      </c>
      <c r="F54" s="109" t="s">
        <v>89</v>
      </c>
      <c r="G54" s="584">
        <f>'[1]FFIN2 Janeiro 2018'!$G$41</f>
        <v>42814.93</v>
      </c>
      <c r="H54" s="191">
        <f>G54/$G$89</f>
        <v>4.2942809172856957E-5</v>
      </c>
      <c r="I54" s="442">
        <f>'[1]FFIN2 Janeiro 2018'!$I$41</f>
        <v>-0.53390000000000004</v>
      </c>
      <c r="J54" s="111"/>
      <c r="K54" s="440"/>
      <c r="L54" s="118" t="s">
        <v>71</v>
      </c>
      <c r="M54" s="445">
        <f>'[1]FFIN2 Janeiro 2018'!$M$41</f>
        <v>999016.7</v>
      </c>
      <c r="N54" s="119">
        <f>G54/M54</f>
        <v>4.2857071358266587E-2</v>
      </c>
      <c r="O54" s="800"/>
      <c r="P54" s="797"/>
      <c r="Q54" s="791"/>
      <c r="R54" s="779"/>
      <c r="S54" s="794"/>
      <c r="T54" s="64"/>
      <c r="U54" s="64"/>
      <c r="V54" s="63"/>
      <c r="W54" s="64"/>
      <c r="X54" s="63"/>
      <c r="Y54" s="65"/>
    </row>
    <row r="55" spans="1:25" s="1" customFormat="1" ht="18.75" thickBot="1" x14ac:dyDescent="0.3">
      <c r="A55" s="8">
        <v>27</v>
      </c>
      <c r="B55" s="167" t="s">
        <v>90</v>
      </c>
      <c r="C55" s="108"/>
      <c r="D55" s="87" t="s">
        <v>91</v>
      </c>
      <c r="E55" s="168" t="s">
        <v>89</v>
      </c>
      <c r="F55" s="168" t="s">
        <v>89</v>
      </c>
      <c r="G55" s="589">
        <f>'[1]FFIN2 Janeiro 2018'!$G$42</f>
        <v>76496.73</v>
      </c>
      <c r="H55" s="191">
        <f>G55/$G$89</f>
        <v>7.6725209611169792E-5</v>
      </c>
      <c r="I55" s="443">
        <f>'[1]FFIN2 Janeiro 2018'!$I$42</f>
        <v>-3.78E-2</v>
      </c>
      <c r="J55" s="138"/>
      <c r="K55" s="175"/>
      <c r="L55" s="159" t="s">
        <v>71</v>
      </c>
      <c r="M55" s="446">
        <f>'[1]FFIN2 Janeiro 2018'!$M$42</f>
        <v>1539221.89</v>
      </c>
      <c r="N55" s="161">
        <f>G55/M55</f>
        <v>4.9698312177719875E-2</v>
      </c>
      <c r="O55" s="801"/>
      <c r="P55" s="798"/>
      <c r="Q55" s="792"/>
      <c r="R55" s="780"/>
      <c r="S55" s="795"/>
      <c r="T55" s="64"/>
      <c r="U55" s="64"/>
      <c r="V55" s="63"/>
      <c r="W55" s="64"/>
      <c r="X55" s="63"/>
      <c r="Y55" s="65"/>
    </row>
    <row r="56" spans="1:25" s="1" customFormat="1" ht="23.25" thickBot="1" x14ac:dyDescent="0.3">
      <c r="A56" s="8"/>
      <c r="B56" s="346" t="s">
        <v>178</v>
      </c>
      <c r="C56" s="338"/>
      <c r="D56" s="347"/>
      <c r="E56" s="345"/>
      <c r="F56" s="345"/>
      <c r="G56" s="613">
        <v>0</v>
      </c>
      <c r="H56" s="215"/>
      <c r="I56" s="333"/>
      <c r="J56" s="215"/>
      <c r="K56" s="158"/>
      <c r="L56" s="331"/>
      <c r="M56" s="160"/>
      <c r="N56" s="187"/>
      <c r="O56" s="327" t="s">
        <v>60</v>
      </c>
      <c r="P56" s="322">
        <v>0</v>
      </c>
      <c r="Q56" s="172">
        <v>0.05</v>
      </c>
      <c r="R56" s="173">
        <v>0.01</v>
      </c>
      <c r="S56" s="568" t="s">
        <v>305</v>
      </c>
      <c r="T56" s="64"/>
      <c r="U56" s="64"/>
      <c r="V56" s="63"/>
      <c r="W56" s="64"/>
      <c r="X56" s="63"/>
      <c r="Y56" s="65"/>
    </row>
    <row r="57" spans="1:25" s="1" customFormat="1" ht="23.25" thickBot="1" x14ac:dyDescent="0.3">
      <c r="A57" s="8"/>
      <c r="B57" s="346" t="s">
        <v>179</v>
      </c>
      <c r="C57" s="338"/>
      <c r="D57" s="347"/>
      <c r="E57" s="345"/>
      <c r="F57" s="345"/>
      <c r="G57" s="613">
        <v>0</v>
      </c>
      <c r="H57" s="215"/>
      <c r="I57" s="333"/>
      <c r="J57" s="215"/>
      <c r="K57" s="158"/>
      <c r="L57" s="331"/>
      <c r="M57" s="160"/>
      <c r="N57" s="215"/>
      <c r="O57" s="327" t="s">
        <v>60</v>
      </c>
      <c r="P57" s="322">
        <v>0</v>
      </c>
      <c r="Q57" s="172">
        <v>0.05</v>
      </c>
      <c r="R57" s="173">
        <v>0</v>
      </c>
      <c r="S57" s="568" t="s">
        <v>306</v>
      </c>
      <c r="T57" s="64"/>
      <c r="U57" s="64"/>
      <c r="V57" s="63"/>
      <c r="W57" s="64"/>
      <c r="X57" s="63"/>
      <c r="Y57" s="65"/>
    </row>
    <row r="58" spans="1:25" s="53" customFormat="1" ht="18.75" thickBot="1" x14ac:dyDescent="0.25">
      <c r="A58" s="40"/>
      <c r="B58" s="334" t="s">
        <v>180</v>
      </c>
      <c r="C58" s="335"/>
      <c r="D58" s="336"/>
      <c r="E58" s="336"/>
      <c r="F58" s="336"/>
      <c r="G58" s="582">
        <f>SUM(G59:G60)</f>
        <v>50719488</v>
      </c>
      <c r="H58" s="43">
        <f t="shared" ref="H58:H64" si="7">G58/$G$89</f>
        <v>5.0870976421753075E-2</v>
      </c>
      <c r="I58" s="91"/>
      <c r="J58" s="44"/>
      <c r="K58" s="44"/>
      <c r="L58" s="44"/>
      <c r="M58" s="130"/>
      <c r="N58" s="94"/>
      <c r="O58" s="42"/>
      <c r="P58" s="176">
        <f>SUM((G4+G15+G30+G32+G52)/G89)*100</f>
        <v>81.037012735747396</v>
      </c>
      <c r="Q58" s="49"/>
      <c r="R58" s="544"/>
      <c r="S58" s="140"/>
      <c r="T58" s="52"/>
      <c r="U58" s="52"/>
      <c r="V58" s="52"/>
      <c r="W58" s="52"/>
      <c r="X58" s="52"/>
      <c r="Y58" s="52"/>
    </row>
    <row r="59" spans="1:25" s="1" customFormat="1" ht="18" x14ac:dyDescent="0.25">
      <c r="A59" s="8">
        <v>28</v>
      </c>
      <c r="B59" s="177" t="s">
        <v>55</v>
      </c>
      <c r="C59" s="178"/>
      <c r="D59" s="179" t="s">
        <v>92</v>
      </c>
      <c r="E59" s="180" t="s">
        <v>93</v>
      </c>
      <c r="F59" s="180" t="s">
        <v>94</v>
      </c>
      <c r="G59" s="457">
        <f>'[1]FFIN2 Janeiro 2018'!$G$46</f>
        <v>39081745.590000004</v>
      </c>
      <c r="H59" s="78">
        <f t="shared" si="7"/>
        <v>3.9198474527776035E-2</v>
      </c>
      <c r="I59" s="447">
        <f>'[1]FFIN2 Janeiro 2018'!$I$46</f>
        <v>9.7100000000000006E-2</v>
      </c>
      <c r="J59" s="103"/>
      <c r="K59" s="112"/>
      <c r="L59" s="127" t="s">
        <v>95</v>
      </c>
      <c r="M59" s="449">
        <f>'[1]FFIN2 Janeiro 2018'!$M$46</f>
        <v>580590845.73000002</v>
      </c>
      <c r="N59" s="135">
        <f t="shared" ref="N59:N60" si="8">G59/M59</f>
        <v>6.7313747499516574E-2</v>
      </c>
      <c r="O59" s="781" t="s">
        <v>96</v>
      </c>
      <c r="P59" s="796">
        <f>(SUM(G59:G60)/G89)</f>
        <v>5.0870976421753075E-2</v>
      </c>
      <c r="Q59" s="790">
        <v>0.3</v>
      </c>
      <c r="R59" s="790">
        <v>0.15</v>
      </c>
      <c r="S59" s="793" t="s">
        <v>307</v>
      </c>
      <c r="T59" s="64"/>
      <c r="U59" s="64"/>
      <c r="V59" s="63"/>
      <c r="W59" s="64"/>
      <c r="X59" s="64"/>
      <c r="Y59" s="182"/>
    </row>
    <row r="60" spans="1:25" s="1" customFormat="1" ht="18.75" thickBot="1" x14ac:dyDescent="0.3">
      <c r="A60" s="8">
        <v>29</v>
      </c>
      <c r="B60" s="54" t="s">
        <v>97</v>
      </c>
      <c r="C60" s="178"/>
      <c r="D60" s="68" t="s">
        <v>98</v>
      </c>
      <c r="E60" s="115" t="s">
        <v>39</v>
      </c>
      <c r="F60" s="115" t="s">
        <v>49</v>
      </c>
      <c r="G60" s="584">
        <f>'[1]FFIN2 Janeiro 2018'!$G$47</f>
        <v>11637742.41</v>
      </c>
      <c r="H60" s="78">
        <f t="shared" si="7"/>
        <v>1.167250189397704E-2</v>
      </c>
      <c r="I60" s="448">
        <f>'[1]FFIN2 Janeiro 2018'!$I$47</f>
        <v>8.09E-2</v>
      </c>
      <c r="J60" s="111"/>
      <c r="K60" s="183"/>
      <c r="L60" s="118" t="s">
        <v>99</v>
      </c>
      <c r="M60" s="450">
        <f>'[1]FFIN2 Janeiro 2018'!$M$47</f>
        <v>77802138.049999997</v>
      </c>
      <c r="N60" s="119">
        <f t="shared" si="8"/>
        <v>0.14958126732353985</v>
      </c>
      <c r="O60" s="782"/>
      <c r="P60" s="797"/>
      <c r="Q60" s="791"/>
      <c r="R60" s="791"/>
      <c r="S60" s="794"/>
      <c r="T60" s="64"/>
      <c r="U60" s="64"/>
      <c r="V60" s="63"/>
      <c r="W60" s="64"/>
      <c r="X60" s="64"/>
      <c r="Y60" s="182"/>
    </row>
    <row r="61" spans="1:25" s="1" customFormat="1" ht="18.75" thickBot="1" x14ac:dyDescent="0.3">
      <c r="A61" s="185"/>
      <c r="B61" s="334" t="s">
        <v>182</v>
      </c>
      <c r="C61" s="335"/>
      <c r="D61" s="336"/>
      <c r="E61" s="336"/>
      <c r="F61" s="336"/>
      <c r="G61" s="582">
        <f>SUM(G62)</f>
        <v>7550441.29</v>
      </c>
      <c r="H61" s="187">
        <f t="shared" si="7"/>
        <v>7.5729928669118441E-3</v>
      </c>
      <c r="I61" s="91"/>
      <c r="J61" s="44"/>
      <c r="K61" s="44"/>
      <c r="L61" s="44"/>
      <c r="M61" s="130"/>
      <c r="N61" s="131"/>
      <c r="O61" s="42"/>
      <c r="P61" s="166"/>
      <c r="Q61" s="49"/>
      <c r="R61" s="544"/>
      <c r="S61" s="140"/>
      <c r="T61" s="64"/>
      <c r="U61" s="64"/>
      <c r="V61" s="63"/>
      <c r="W61" s="64"/>
      <c r="X61" s="64"/>
      <c r="Y61" s="182"/>
    </row>
    <row r="62" spans="1:25" s="1" customFormat="1" ht="23.25" thickBot="1" x14ac:dyDescent="0.3">
      <c r="A62" s="185">
        <v>31</v>
      </c>
      <c r="B62" s="188" t="s">
        <v>50</v>
      </c>
      <c r="C62" s="108"/>
      <c r="D62" s="189" t="s">
        <v>101</v>
      </c>
      <c r="E62" s="190" t="s">
        <v>39</v>
      </c>
      <c r="F62" s="115" t="s">
        <v>49</v>
      </c>
      <c r="G62" s="590">
        <f>'[1]FFIN2 Janeiro 2018'!$G$49</f>
        <v>7550441.29</v>
      </c>
      <c r="H62" s="191">
        <f t="shared" si="7"/>
        <v>7.5729928669118441E-3</v>
      </c>
      <c r="I62" s="358">
        <f>'[1]FFIN2 Janeiro 2018'!$I$49</f>
        <v>0.109094</v>
      </c>
      <c r="J62" s="146"/>
      <c r="K62" s="192"/>
      <c r="L62" s="127" t="s">
        <v>95</v>
      </c>
      <c r="M62" s="450">
        <f>'[1]FFIN2 Janeiro 2018'!$M$49</f>
        <v>39096531.579999998</v>
      </c>
      <c r="N62" s="441">
        <f>G62/M62</f>
        <v>0.19312304659430354</v>
      </c>
      <c r="O62" s="193" t="s">
        <v>102</v>
      </c>
      <c r="P62" s="194">
        <f>G62/G89</f>
        <v>7.5729928669118441E-3</v>
      </c>
      <c r="Q62" s="195">
        <v>0.3</v>
      </c>
      <c r="R62" s="196">
        <v>0.02</v>
      </c>
      <c r="S62" s="568" t="s">
        <v>308</v>
      </c>
      <c r="T62" s="64"/>
      <c r="U62" s="64"/>
      <c r="V62" s="63"/>
      <c r="W62" s="64"/>
      <c r="X62" s="64"/>
      <c r="Y62" s="182"/>
    </row>
    <row r="63" spans="1:25" s="53" customFormat="1" ht="18.75" thickBot="1" x14ac:dyDescent="0.25">
      <c r="A63" s="40"/>
      <c r="B63" s="334" t="s">
        <v>181</v>
      </c>
      <c r="C63" s="335"/>
      <c r="D63" s="336"/>
      <c r="E63" s="336"/>
      <c r="F63" s="336"/>
      <c r="G63" s="582">
        <f>SUM(G64:G71)</f>
        <v>79030212.229999989</v>
      </c>
      <c r="H63" s="43">
        <f t="shared" si="7"/>
        <v>7.9266258818670859E-2</v>
      </c>
      <c r="I63" s="91"/>
      <c r="J63" s="29"/>
      <c r="K63" s="44"/>
      <c r="L63" s="44"/>
      <c r="M63" s="130"/>
      <c r="N63" s="131"/>
      <c r="O63" s="165"/>
      <c r="P63" s="132"/>
      <c r="Q63" s="49"/>
      <c r="R63" s="132"/>
      <c r="S63" s="140"/>
      <c r="T63" s="52"/>
      <c r="U63" s="52"/>
      <c r="V63" s="52"/>
      <c r="W63" s="52"/>
      <c r="X63" s="52"/>
      <c r="Y63" s="52"/>
    </row>
    <row r="64" spans="1:25" s="1" customFormat="1" ht="18" x14ac:dyDescent="0.25">
      <c r="A64" s="8">
        <v>34</v>
      </c>
      <c r="B64" s="54" t="s">
        <v>107</v>
      </c>
      <c r="C64" s="197"/>
      <c r="D64" s="68" t="s">
        <v>108</v>
      </c>
      <c r="E64" s="124" t="s">
        <v>39</v>
      </c>
      <c r="F64" s="124" t="s">
        <v>49</v>
      </c>
      <c r="G64" s="384">
        <f>'[1]FFIN2 Janeiro 2018'!$G$51</f>
        <v>10077348.43</v>
      </c>
      <c r="H64" s="78">
        <f t="shared" si="7"/>
        <v>1.0107447346004762E-2</v>
      </c>
      <c r="I64" s="376">
        <f>'[1]FFIN2 Janeiro 2018'!$I$51</f>
        <v>0.1255</v>
      </c>
      <c r="J64" s="181"/>
      <c r="K64" s="152"/>
      <c r="L64" s="113" t="s">
        <v>95</v>
      </c>
      <c r="M64" s="455">
        <f>'[1]FFIN2 Janeiro 2018'!$M$51</f>
        <v>190859592.62</v>
      </c>
      <c r="N64" s="78">
        <f>G64/M64</f>
        <v>5.2799800584631469E-2</v>
      </c>
      <c r="O64" s="802" t="s">
        <v>102</v>
      </c>
      <c r="P64" s="785">
        <f>SUM(G64:G71)/G89</f>
        <v>7.9266258818670859E-2</v>
      </c>
      <c r="Q64" s="790"/>
      <c r="R64" s="791"/>
      <c r="S64" s="793" t="s">
        <v>309</v>
      </c>
      <c r="T64" s="203"/>
      <c r="U64" s="64"/>
      <c r="V64" s="63"/>
      <c r="W64" s="64"/>
      <c r="X64" s="64"/>
      <c r="Y64" s="182"/>
    </row>
    <row r="65" spans="1:25" s="1" customFormat="1" ht="19.5" thickBot="1" x14ac:dyDescent="0.3">
      <c r="A65" s="8"/>
      <c r="B65" s="107" t="s">
        <v>113</v>
      </c>
      <c r="C65" s="67" t="s">
        <v>114</v>
      </c>
      <c r="D65" s="68" t="s">
        <v>115</v>
      </c>
      <c r="E65" s="124" t="s">
        <v>39</v>
      </c>
      <c r="F65" s="124" t="s">
        <v>49</v>
      </c>
      <c r="G65" s="364">
        <f>'[1]FFIN2 Janeiro 2018'!$G$52</f>
        <v>22689739.140000001</v>
      </c>
      <c r="H65" s="78">
        <f t="shared" ref="H65:H69" si="9">G65/$G$89</f>
        <v>2.2757508609051177E-2</v>
      </c>
      <c r="I65" s="358">
        <f>'[1]FFIN2 Janeiro 2018'!$I$52</f>
        <v>0.1202</v>
      </c>
      <c r="J65" s="181"/>
      <c r="K65" s="206"/>
      <c r="L65" s="113" t="s">
        <v>95</v>
      </c>
      <c r="M65" s="451">
        <f>'[1]FFIN2 Janeiro 2018'!$M$52</f>
        <v>188751910.16999999</v>
      </c>
      <c r="N65" s="70">
        <f t="shared" ref="N65:N69" si="10">G65/M65</f>
        <v>0.1202093219589906</v>
      </c>
      <c r="O65" s="802"/>
      <c r="P65" s="785"/>
      <c r="Q65" s="791"/>
      <c r="R65" s="791"/>
      <c r="S65" s="794"/>
      <c r="T65" s="203"/>
      <c r="U65" s="64"/>
      <c r="V65" s="63"/>
      <c r="W65" s="64"/>
      <c r="X65" s="64"/>
      <c r="Y65" s="182"/>
    </row>
    <row r="66" spans="1:25" s="1" customFormat="1" ht="18" x14ac:dyDescent="0.25">
      <c r="A66" s="8"/>
      <c r="B66" s="54" t="s">
        <v>75</v>
      </c>
      <c r="C66" s="197"/>
      <c r="D66" s="68" t="s">
        <v>103</v>
      </c>
      <c r="E66" s="124" t="s">
        <v>104</v>
      </c>
      <c r="F66" s="124" t="s">
        <v>105</v>
      </c>
      <c r="G66" s="384">
        <f>'[1]FFIN2 Janeiro 2018'!$G$53</f>
        <v>20642212.789999999</v>
      </c>
      <c r="H66" s="78">
        <f t="shared" si="9"/>
        <v>2.0703866729350654E-2</v>
      </c>
      <c r="I66" s="376">
        <f>'[1]FFIN2 Janeiro 2018'!$I$53</f>
        <v>9.2200000000000004E-2</v>
      </c>
      <c r="J66" s="151"/>
      <c r="K66" s="198"/>
      <c r="L66" s="118" t="s">
        <v>95</v>
      </c>
      <c r="M66" s="452">
        <f>'[1]FFIN2 Janeiro 2018'!$M$53</f>
        <v>493662489.12</v>
      </c>
      <c r="N66" s="78">
        <f t="shared" si="10"/>
        <v>4.1814424318113969E-2</v>
      </c>
      <c r="O66" s="802"/>
      <c r="P66" s="785"/>
      <c r="Q66" s="791"/>
      <c r="R66" s="791"/>
      <c r="S66" s="794"/>
      <c r="T66" s="203"/>
      <c r="U66" s="64"/>
      <c r="V66" s="63"/>
      <c r="W66" s="64"/>
      <c r="X66" s="64"/>
      <c r="Y66" s="182"/>
    </row>
    <row r="67" spans="1:25" s="1" customFormat="1" ht="18" x14ac:dyDescent="0.25">
      <c r="A67" s="8"/>
      <c r="B67" s="54" t="s">
        <v>75</v>
      </c>
      <c r="C67" s="197"/>
      <c r="D67" s="68" t="s">
        <v>106</v>
      </c>
      <c r="E67" s="124" t="s">
        <v>39</v>
      </c>
      <c r="F67" s="124" t="s">
        <v>49</v>
      </c>
      <c r="G67" s="384">
        <f>'[1]FFIN2 Janeiro 2018'!$G$54</f>
        <v>2730541.68</v>
      </c>
      <c r="H67" s="78">
        <f t="shared" si="9"/>
        <v>2.7386972325488387E-3</v>
      </c>
      <c r="I67" s="376">
        <f>'[1]FFIN2 Janeiro 2018'!$I$54</f>
        <v>0.13789999999999999</v>
      </c>
      <c r="J67" s="200"/>
      <c r="K67" s="201"/>
      <c r="L67" s="202" t="s">
        <v>95</v>
      </c>
      <c r="M67" s="434">
        <f>'[1]FFIN2 Janeiro 2018'!$M$54</f>
        <v>236114205.46000001</v>
      </c>
      <c r="N67" s="119">
        <f t="shared" si="10"/>
        <v>1.1564495557056095E-2</v>
      </c>
      <c r="O67" s="802"/>
      <c r="P67" s="785"/>
      <c r="Q67" s="791"/>
      <c r="R67" s="791"/>
      <c r="S67" s="794"/>
      <c r="T67" s="203"/>
      <c r="U67" s="64"/>
      <c r="V67" s="63"/>
      <c r="W67" s="64"/>
      <c r="X67" s="64"/>
      <c r="Y67" s="182"/>
    </row>
    <row r="68" spans="1:25" s="1" customFormat="1" ht="18" x14ac:dyDescent="0.25">
      <c r="A68" s="8"/>
      <c r="B68" s="54" t="s">
        <v>206</v>
      </c>
      <c r="C68" s="197"/>
      <c r="D68" s="68" t="s">
        <v>103</v>
      </c>
      <c r="E68" s="124" t="s">
        <v>104</v>
      </c>
      <c r="F68" s="124" t="s">
        <v>105</v>
      </c>
      <c r="G68" s="384">
        <f>'[2]FFPREV Janeiro 2018'!$G$34</f>
        <v>7199602.6399999997</v>
      </c>
      <c r="H68" s="78">
        <f t="shared" si="9"/>
        <v>7.2211063358019537E-3</v>
      </c>
      <c r="I68" s="376">
        <f>'[2]FFPREV Janeiro 2018'!$I$34</f>
        <v>9.2200000000000004E-2</v>
      </c>
      <c r="J68" s="181"/>
      <c r="K68" s="388"/>
      <c r="L68" s="387" t="s">
        <v>207</v>
      </c>
      <c r="M68" s="453">
        <f>'[2]FFPREV Janeiro 2018'!$M$34</f>
        <v>493662489.12</v>
      </c>
      <c r="N68" s="389">
        <f t="shared" si="10"/>
        <v>1.4584058539335186E-2</v>
      </c>
      <c r="O68" s="802"/>
      <c r="P68" s="785"/>
      <c r="Q68" s="791"/>
      <c r="R68" s="791"/>
      <c r="S68" s="794"/>
      <c r="T68" s="203"/>
      <c r="U68" s="64"/>
      <c r="V68" s="63"/>
      <c r="W68" s="64"/>
      <c r="X68" s="64"/>
      <c r="Y68" s="182"/>
    </row>
    <row r="69" spans="1:25" s="1" customFormat="1" ht="18" x14ac:dyDescent="0.25">
      <c r="A69" s="8"/>
      <c r="B69" s="54" t="s">
        <v>206</v>
      </c>
      <c r="C69" s="197"/>
      <c r="D69" s="68" t="s">
        <v>208</v>
      </c>
      <c r="E69" s="124" t="s">
        <v>39</v>
      </c>
      <c r="F69" s="124" t="s">
        <v>49</v>
      </c>
      <c r="G69" s="384">
        <f>'[2]FFPREV Janeiro 2018'!$G$35</f>
        <v>3947319.62</v>
      </c>
      <c r="H69" s="78">
        <f t="shared" si="9"/>
        <v>3.9591094318251656E-3</v>
      </c>
      <c r="I69" s="376">
        <f>'[2]FFPREV Janeiro 2018'!$I$35</f>
        <v>0.13789999999999999</v>
      </c>
      <c r="J69" s="181"/>
      <c r="K69" s="390"/>
      <c r="L69" s="387" t="s">
        <v>95</v>
      </c>
      <c r="M69" s="453">
        <f>'[2]FFPREV Janeiro 2018'!$M$35</f>
        <v>236114205.46000001</v>
      </c>
      <c r="N69" s="389">
        <f t="shared" si="10"/>
        <v>1.6717840471774215E-2</v>
      </c>
      <c r="O69" s="802"/>
      <c r="P69" s="785"/>
      <c r="Q69" s="791"/>
      <c r="R69" s="791"/>
      <c r="S69" s="794"/>
      <c r="T69" s="203"/>
      <c r="U69" s="64"/>
      <c r="V69" s="63"/>
      <c r="W69" s="64"/>
      <c r="X69" s="64"/>
      <c r="Y69" s="182"/>
    </row>
    <row r="70" spans="1:25" s="1" customFormat="1" ht="18.75" thickBot="1" x14ac:dyDescent="0.3">
      <c r="A70" s="8">
        <v>35</v>
      </c>
      <c r="B70" s="177" t="s">
        <v>50</v>
      </c>
      <c r="C70" s="108"/>
      <c r="D70" s="184" t="s">
        <v>109</v>
      </c>
      <c r="E70" s="110" t="s">
        <v>110</v>
      </c>
      <c r="F70" s="110" t="s">
        <v>111</v>
      </c>
      <c r="G70" s="591">
        <f>'[1]FFIN2 Janeiro 2018'!$G$55</f>
        <v>7215427.6900000004</v>
      </c>
      <c r="H70" s="78">
        <f>G70/$G$89</f>
        <v>7.2369786518912465E-3</v>
      </c>
      <c r="I70" s="358">
        <f>'[1]FFIN2 Janeiro 2018'!$I$55</f>
        <v>7.7100000000000002E-2</v>
      </c>
      <c r="J70" s="116"/>
      <c r="K70" s="198"/>
      <c r="L70" s="113" t="s">
        <v>112</v>
      </c>
      <c r="M70" s="452">
        <f>'[1]FFIN2 Janeiro 2018'!$M$55</f>
        <v>364884519.37</v>
      </c>
      <c r="N70" s="204">
        <f>G70/M70</f>
        <v>1.977455141823492E-2</v>
      </c>
      <c r="O70" s="802"/>
      <c r="P70" s="785"/>
      <c r="Q70" s="791"/>
      <c r="R70" s="791"/>
      <c r="S70" s="794"/>
      <c r="T70" s="205"/>
      <c r="U70" s="64"/>
      <c r="V70" s="63"/>
      <c r="W70" s="64"/>
      <c r="X70" s="64"/>
      <c r="Y70" s="182"/>
    </row>
    <row r="71" spans="1:25" s="1" customFormat="1" ht="18.75" thickBot="1" x14ac:dyDescent="0.3">
      <c r="A71" s="8">
        <v>36</v>
      </c>
      <c r="B71" s="391" t="s">
        <v>209</v>
      </c>
      <c r="C71" s="108"/>
      <c r="D71" s="88" t="s">
        <v>210</v>
      </c>
      <c r="E71" s="180" t="s">
        <v>39</v>
      </c>
      <c r="F71" s="155" t="s">
        <v>49</v>
      </c>
      <c r="G71" s="454">
        <f>'[2]FFPREV Janeiro 2018'!$G$36</f>
        <v>4528020.24</v>
      </c>
      <c r="H71" s="78">
        <f>G71/$G$89</f>
        <v>4.5415444821970737E-3</v>
      </c>
      <c r="I71" s="367">
        <f>'[2]FFPREV Janeiro 2018'!$I$36</f>
        <v>5.4800000000000001E-2</v>
      </c>
      <c r="J71" s="181"/>
      <c r="K71" s="324"/>
      <c r="L71" s="392" t="s">
        <v>211</v>
      </c>
      <c r="M71" s="456">
        <f>'[2]FFPREV Janeiro 2018'!$M$34</f>
        <v>493662489.12</v>
      </c>
      <c r="N71" s="70">
        <f>G71/M71</f>
        <v>9.1722995767242188E-3</v>
      </c>
      <c r="O71" s="802"/>
      <c r="P71" s="785"/>
      <c r="Q71" s="792"/>
      <c r="R71" s="791"/>
      <c r="S71" s="795"/>
      <c r="T71" s="64"/>
      <c r="U71" s="64"/>
      <c r="V71" s="63"/>
      <c r="W71" s="64"/>
      <c r="X71" s="64"/>
      <c r="Y71" s="182"/>
    </row>
    <row r="72" spans="1:25" s="1" customFormat="1" ht="23.25" thickBot="1" x14ac:dyDescent="0.3">
      <c r="A72" s="8"/>
      <c r="B72" s="350" t="s">
        <v>183</v>
      </c>
      <c r="C72" s="338"/>
      <c r="D72" s="348"/>
      <c r="E72" s="340"/>
      <c r="F72" s="342"/>
      <c r="G72" s="612">
        <v>0</v>
      </c>
      <c r="H72" s="215"/>
      <c r="I72" s="116"/>
      <c r="J72" s="408"/>
      <c r="K72" s="318"/>
      <c r="L72" s="409"/>
      <c r="M72" s="317"/>
      <c r="N72" s="187"/>
      <c r="O72" s="410" t="s">
        <v>96</v>
      </c>
      <c r="P72" s="322">
        <v>0</v>
      </c>
      <c r="Q72" s="95">
        <v>0.2</v>
      </c>
      <c r="R72" s="96">
        <v>0</v>
      </c>
      <c r="S72" s="581" t="s">
        <v>310</v>
      </c>
      <c r="T72" s="64"/>
      <c r="U72" s="64"/>
      <c r="V72" s="63"/>
      <c r="W72" s="64"/>
      <c r="X72" s="64"/>
      <c r="Y72" s="182"/>
    </row>
    <row r="73" spans="1:25" s="53" customFormat="1" ht="18.75" thickBot="1" x14ac:dyDescent="0.25">
      <c r="A73" s="40"/>
      <c r="B73" s="350" t="s">
        <v>184</v>
      </c>
      <c r="C73" s="335"/>
      <c r="D73" s="336"/>
      <c r="E73" s="336"/>
      <c r="F73" s="336"/>
      <c r="G73" s="582">
        <f>SUM(G74:G77)</f>
        <v>15634337.869999999</v>
      </c>
      <c r="H73" s="43">
        <f t="shared" ref="H73:H86" si="11">G73/$G$89</f>
        <v>1.5681034342351626E-2</v>
      </c>
      <c r="I73" s="412"/>
      <c r="J73" s="44"/>
      <c r="K73" s="44"/>
      <c r="L73" s="44"/>
      <c r="M73" s="130"/>
      <c r="N73" s="131"/>
      <c r="O73" s="42"/>
      <c r="P73" s="166"/>
      <c r="Q73" s="132"/>
      <c r="R73" s="544"/>
      <c r="S73" s="140"/>
      <c r="T73" s="52"/>
      <c r="U73" s="52"/>
      <c r="V73" s="52"/>
      <c r="W73" s="52"/>
      <c r="X73" s="52"/>
      <c r="Y73" s="52"/>
    </row>
    <row r="74" spans="1:25" s="1" customFormat="1" ht="18.75" thickBot="1" x14ac:dyDescent="0.3">
      <c r="A74" s="8">
        <v>39</v>
      </c>
      <c r="B74" s="209" t="s">
        <v>116</v>
      </c>
      <c r="C74" s="87" t="s">
        <v>100</v>
      </c>
      <c r="D74" s="210" t="s">
        <v>117</v>
      </c>
      <c r="E74" s="110" t="s">
        <v>38</v>
      </c>
      <c r="F74" s="110" t="s">
        <v>39</v>
      </c>
      <c r="G74" s="591">
        <f>'[1]FFIN2 Janeiro 2018'!$G$58</f>
        <v>3577432</v>
      </c>
      <c r="H74" s="614">
        <f t="shared" si="11"/>
        <v>3.5881170354563701E-3</v>
      </c>
      <c r="I74" s="416">
        <f>'[1]FFIN2 Janeiro 2018'!$I$58</f>
        <v>5.3831999999999998E-2</v>
      </c>
      <c r="J74" s="117"/>
      <c r="K74" s="377"/>
      <c r="L74" s="211" t="s">
        <v>118</v>
      </c>
      <c r="M74" s="458">
        <f>'[1]FFIN2 Janeiro 2018'!$M$58</f>
        <v>1364986237.1800001</v>
      </c>
      <c r="N74" s="378">
        <f>G74/M74</f>
        <v>2.6208557292056022E-3</v>
      </c>
      <c r="O74" s="799" t="s">
        <v>96</v>
      </c>
      <c r="P74" s="796">
        <f>SUM(G74:G77)/G89</f>
        <v>1.5681034342351626E-2</v>
      </c>
      <c r="Q74" s="778">
        <v>0.1</v>
      </c>
      <c r="R74" s="778">
        <v>0.03</v>
      </c>
      <c r="S74" s="813" t="s">
        <v>311</v>
      </c>
      <c r="T74" s="64"/>
      <c r="U74" s="414"/>
      <c r="V74" s="63"/>
      <c r="W74" s="64"/>
      <c r="X74" s="64"/>
      <c r="Y74" s="90"/>
    </row>
    <row r="75" spans="1:25" s="1" customFormat="1" ht="18.75" thickBot="1" x14ac:dyDescent="0.3">
      <c r="A75" s="8"/>
      <c r="B75" s="393" t="s">
        <v>212</v>
      </c>
      <c r="C75" s="87" t="s">
        <v>100</v>
      </c>
      <c r="D75" s="210" t="s">
        <v>117</v>
      </c>
      <c r="E75" s="110" t="s">
        <v>38</v>
      </c>
      <c r="F75" s="110" t="s">
        <v>39</v>
      </c>
      <c r="G75" s="457">
        <f>'[2]FFPREV Janeiro 2018'!$G$39</f>
        <v>3526016.27</v>
      </c>
      <c r="H75" s="78">
        <f t="shared" si="11"/>
        <v>3.5365477375064931E-3</v>
      </c>
      <c r="I75" s="447">
        <f>'[2]FFPREV Janeiro 2018'!$I$39</f>
        <v>5.3831999999999998E-2</v>
      </c>
      <c r="J75" s="411"/>
      <c r="K75" s="403"/>
      <c r="L75" s="211" t="s">
        <v>71</v>
      </c>
      <c r="M75" s="458">
        <f>'[2]FFPREV Janeiro 2018'!$M$39</f>
        <v>1364986237.1800001</v>
      </c>
      <c r="N75" s="378">
        <f>G75/M75</f>
        <v>2.5831881479512868E-3</v>
      </c>
      <c r="O75" s="800"/>
      <c r="P75" s="797"/>
      <c r="Q75" s="779"/>
      <c r="R75" s="779"/>
      <c r="S75" s="814"/>
      <c r="T75" s="64"/>
      <c r="U75" s="64"/>
      <c r="V75" s="63"/>
      <c r="W75" s="64"/>
      <c r="X75" s="64"/>
      <c r="Y75" s="90"/>
    </row>
    <row r="76" spans="1:25" s="1" customFormat="1" ht="18" x14ac:dyDescent="0.25">
      <c r="A76" s="8">
        <v>40</v>
      </c>
      <c r="B76" s="66" t="s">
        <v>107</v>
      </c>
      <c r="C76" s="197"/>
      <c r="D76" s="179" t="s">
        <v>119</v>
      </c>
      <c r="E76" s="124" t="s">
        <v>120</v>
      </c>
      <c r="F76" s="124" t="s">
        <v>120</v>
      </c>
      <c r="G76" s="384">
        <f>'[1]FFIN2 Janeiro 2018'!$G$59</f>
        <v>5331806</v>
      </c>
      <c r="H76" s="78">
        <f t="shared" si="11"/>
        <v>5.3477309808679764E-3</v>
      </c>
      <c r="I76" s="415">
        <f>'[1]FFIN2 Janeiro 2018'!$I$59</f>
        <v>-1.9E-3</v>
      </c>
      <c r="J76" s="111"/>
      <c r="K76" s="126"/>
      <c r="L76" s="113" t="s">
        <v>95</v>
      </c>
      <c r="M76" s="455">
        <f>'[1]FFIN2 Janeiro 2018'!$M$59</f>
        <v>34646077.68</v>
      </c>
      <c r="N76" s="623">
        <f>G76/M76</f>
        <v>0.15389349551328491</v>
      </c>
      <c r="O76" s="800"/>
      <c r="P76" s="797"/>
      <c r="Q76" s="779"/>
      <c r="R76" s="779"/>
      <c r="S76" s="814"/>
      <c r="T76" s="64"/>
      <c r="U76" s="64"/>
      <c r="V76" s="63"/>
      <c r="W76" s="64"/>
      <c r="X76" s="64"/>
      <c r="Y76" s="90"/>
    </row>
    <row r="77" spans="1:25" s="1" customFormat="1" ht="18.75" thickBot="1" x14ac:dyDescent="0.3">
      <c r="A77" s="8"/>
      <c r="B77" s="413" t="s">
        <v>202</v>
      </c>
      <c r="C77" s="197"/>
      <c r="D77" s="88" t="s">
        <v>119</v>
      </c>
      <c r="E77" s="124" t="s">
        <v>120</v>
      </c>
      <c r="F77" s="124" t="s">
        <v>120</v>
      </c>
      <c r="G77" s="366">
        <f>'[2]FFPREV Janeiro 2018'!$G$40</f>
        <v>3199083.6</v>
      </c>
      <c r="H77" s="89">
        <f t="shared" si="11"/>
        <v>3.2086385885207861E-3</v>
      </c>
      <c r="I77" s="367">
        <f>'[2]FFPREV Janeiro 2018'!$I$40</f>
        <v>-1.9E-3</v>
      </c>
      <c r="J77" s="169"/>
      <c r="K77" s="405"/>
      <c r="L77" s="387" t="s">
        <v>95</v>
      </c>
      <c r="M77" s="459">
        <f>'[2]FFPREV Janeiro 2018'!$M$40</f>
        <v>34646077.68</v>
      </c>
      <c r="N77" s="623">
        <f>G77/M77</f>
        <v>9.2336097307970946E-2</v>
      </c>
      <c r="O77" s="801"/>
      <c r="P77" s="798"/>
      <c r="Q77" s="780"/>
      <c r="R77" s="780"/>
      <c r="S77" s="815"/>
      <c r="T77" s="64"/>
      <c r="U77" s="64"/>
      <c r="V77" s="63"/>
      <c r="W77" s="64"/>
      <c r="X77" s="64"/>
      <c r="Y77" s="90"/>
    </row>
    <row r="78" spans="1:25" s="1" customFormat="1" ht="18.75" thickBot="1" x14ac:dyDescent="0.3">
      <c r="A78" s="8"/>
      <c r="B78" s="350" t="s">
        <v>185</v>
      </c>
      <c r="C78" s="335"/>
      <c r="D78" s="336"/>
      <c r="E78" s="336"/>
      <c r="F78" s="336"/>
      <c r="G78" s="582">
        <f>SUM(G79:G81)</f>
        <v>14281814.119999999</v>
      </c>
      <c r="H78" s="43">
        <f t="shared" si="11"/>
        <v>1.4324470888948644E-2</v>
      </c>
      <c r="I78" s="91"/>
      <c r="J78" s="92"/>
      <c r="K78" s="92"/>
      <c r="L78" s="44"/>
      <c r="M78" s="93"/>
      <c r="N78" s="131"/>
      <c r="O78" s="42"/>
      <c r="P78" s="309"/>
      <c r="Q78" s="49"/>
      <c r="R78" s="49"/>
      <c r="S78" s="140"/>
      <c r="T78" s="64"/>
      <c r="U78" s="64"/>
      <c r="V78" s="63"/>
      <c r="W78" s="64"/>
      <c r="X78" s="64"/>
      <c r="Y78" s="90"/>
    </row>
    <row r="79" spans="1:25" s="1" customFormat="1" ht="18" x14ac:dyDescent="0.25">
      <c r="A79" s="8"/>
      <c r="B79" s="148" t="s">
        <v>124</v>
      </c>
      <c r="C79" s="216"/>
      <c r="D79" s="217" t="s">
        <v>125</v>
      </c>
      <c r="E79" s="100" t="s">
        <v>89</v>
      </c>
      <c r="F79" s="100" t="s">
        <v>89</v>
      </c>
      <c r="G79" s="588">
        <f>'[1]FFIN2 Janeiro 2018'!$G$61</f>
        <v>13041587.75</v>
      </c>
      <c r="H79" s="218">
        <f t="shared" si="11"/>
        <v>1.3080540224153558E-2</v>
      </c>
      <c r="I79" s="425">
        <f>'[1]FFIN2 Janeiro 2018'!$I$61</f>
        <v>-0.1188</v>
      </c>
      <c r="J79" s="219"/>
      <c r="K79" s="220"/>
      <c r="L79" s="216" t="s">
        <v>80</v>
      </c>
      <c r="M79" s="461">
        <f>'[1]FFIN2 Janeiro 2018'!$M$61</f>
        <v>92595273.010000005</v>
      </c>
      <c r="N79" s="135">
        <f>G79/M79</f>
        <v>0.14084507044535144</v>
      </c>
      <c r="O79" s="781" t="s">
        <v>126</v>
      </c>
      <c r="P79" s="805">
        <f>SUM(G79:G81)/G89</f>
        <v>1.4324470888948644E-2</v>
      </c>
      <c r="Q79" s="808">
        <v>0.05</v>
      </c>
      <c r="R79" s="790">
        <v>0.03</v>
      </c>
      <c r="S79" s="793" t="s">
        <v>312</v>
      </c>
      <c r="T79" s="64"/>
      <c r="U79" s="64"/>
      <c r="V79" s="63"/>
      <c r="W79" s="64"/>
      <c r="X79" s="64"/>
      <c r="Y79" s="90"/>
    </row>
    <row r="80" spans="1:25" s="1" customFormat="1" ht="18" x14ac:dyDescent="0.25">
      <c r="A80" s="8"/>
      <c r="B80" s="221" t="s">
        <v>127</v>
      </c>
      <c r="C80" s="222"/>
      <c r="D80" s="223" t="s">
        <v>128</v>
      </c>
      <c r="E80" s="180" t="s">
        <v>89</v>
      </c>
      <c r="F80" s="180" t="s">
        <v>89</v>
      </c>
      <c r="G80" s="384">
        <f>'[1]FFIN2 Janeiro 2018'!$G$62</f>
        <v>464560.2</v>
      </c>
      <c r="H80" s="78">
        <f t="shared" si="11"/>
        <v>4.6594774341343691E-4</v>
      </c>
      <c r="I80" s="448">
        <f>'[1]FFIN2 Janeiro 2018'!$I$62</f>
        <v>-1.2999999999999999E-3</v>
      </c>
      <c r="J80" s="224"/>
      <c r="K80" s="225"/>
      <c r="L80" s="226" t="s">
        <v>80</v>
      </c>
      <c r="M80" s="428">
        <f>'[1]FFIN2 Janeiro 2018'!$M$62</f>
        <v>209367646.30000001</v>
      </c>
      <c r="N80" s="114">
        <f>G80/M80</f>
        <v>2.2188729166603806E-3</v>
      </c>
      <c r="O80" s="782"/>
      <c r="P80" s="806"/>
      <c r="Q80" s="809"/>
      <c r="R80" s="791"/>
      <c r="S80" s="794"/>
      <c r="T80" s="64"/>
      <c r="U80" s="64"/>
      <c r="V80" s="63"/>
      <c r="W80" s="64"/>
      <c r="X80" s="64"/>
      <c r="Y80" s="90"/>
    </row>
    <row r="81" spans="1:25" s="1" customFormat="1" ht="18.75" thickBot="1" x14ac:dyDescent="0.3">
      <c r="A81" s="8"/>
      <c r="B81" s="227" t="s">
        <v>129</v>
      </c>
      <c r="C81" s="216"/>
      <c r="D81" s="228" t="s">
        <v>130</v>
      </c>
      <c r="E81" s="155" t="s">
        <v>89</v>
      </c>
      <c r="F81" s="155" t="s">
        <v>89</v>
      </c>
      <c r="G81" s="385">
        <f>'[1]FFIN2 Janeiro 2018'!$G$63</f>
        <v>775666.17</v>
      </c>
      <c r="H81" s="89">
        <f t="shared" si="11"/>
        <v>7.7798292138164945E-4</v>
      </c>
      <c r="I81" s="460">
        <f>'[1]FFIN2 Janeiro 2018'!$I$63</f>
        <v>4.1399999999999999E-2</v>
      </c>
      <c r="J81" s="229"/>
      <c r="K81" s="230"/>
      <c r="L81" s="231" t="s">
        <v>80</v>
      </c>
      <c r="M81" s="428">
        <f>'[1]FFIN2 Janeiro 2018'!$M$63</f>
        <v>191353269.22999999</v>
      </c>
      <c r="N81" s="171">
        <f>G81/M81</f>
        <v>4.0535820115394855E-3</v>
      </c>
      <c r="O81" s="783"/>
      <c r="P81" s="807"/>
      <c r="Q81" s="810"/>
      <c r="R81" s="792"/>
      <c r="S81" s="795"/>
      <c r="T81" s="64"/>
      <c r="U81" s="64"/>
      <c r="V81" s="63"/>
      <c r="W81" s="64"/>
      <c r="X81" s="64"/>
      <c r="Y81" s="90"/>
    </row>
    <row r="82" spans="1:25" s="53" customFormat="1" ht="18.75" thickBot="1" x14ac:dyDescent="0.25">
      <c r="A82" s="40"/>
      <c r="B82" s="350" t="s">
        <v>186</v>
      </c>
      <c r="C82" s="335"/>
      <c r="D82" s="336"/>
      <c r="E82" s="336"/>
      <c r="F82" s="336"/>
      <c r="G82" s="582">
        <f>SUM(G83:G84)</f>
        <v>14446188.68</v>
      </c>
      <c r="H82" s="43">
        <f t="shared" si="11"/>
        <v>1.4489336401118168E-2</v>
      </c>
      <c r="I82" s="91"/>
      <c r="J82" s="92"/>
      <c r="K82" s="44"/>
      <c r="L82" s="44"/>
      <c r="M82" s="130"/>
      <c r="N82" s="131"/>
      <c r="O82" s="42"/>
      <c r="P82" s="544"/>
      <c r="Q82" s="166"/>
      <c r="R82" s="166"/>
      <c r="S82" s="580"/>
      <c r="T82" s="52"/>
      <c r="U82" s="52"/>
      <c r="V82" s="52"/>
      <c r="W82" s="52"/>
      <c r="X82" s="52"/>
      <c r="Y82" s="52"/>
    </row>
    <row r="83" spans="1:25" s="53" customFormat="1" ht="16.5" customHeight="1" x14ac:dyDescent="0.25">
      <c r="A83" s="212">
        <v>41</v>
      </c>
      <c r="B83" s="97" t="s">
        <v>161</v>
      </c>
      <c r="C83" s="98"/>
      <c r="D83" s="134" t="s">
        <v>162</v>
      </c>
      <c r="E83" s="101" t="s">
        <v>89</v>
      </c>
      <c r="F83" s="101" t="s">
        <v>89</v>
      </c>
      <c r="G83" s="588">
        <f>'[1]FFIN2 Janeiro 2018'!$G$65</f>
        <v>5600000</v>
      </c>
      <c r="H83" s="213">
        <f t="shared" si="11"/>
        <v>5.6167260198253027E-3</v>
      </c>
      <c r="I83" s="416">
        <f>'[1]FFIN2 Janeiro 2018'!$I$65</f>
        <v>0.16200000000000001</v>
      </c>
      <c r="J83" s="214"/>
      <c r="K83" s="104"/>
      <c r="L83" s="105" t="s">
        <v>71</v>
      </c>
      <c r="M83" s="427">
        <f>'[1]FFIN2 Janeiro 2018'!$M$65</f>
        <v>153397209.24000001</v>
      </c>
      <c r="N83" s="135">
        <f>G83/M83</f>
        <v>3.6506531166668306E-2</v>
      </c>
      <c r="O83" s="799" t="s">
        <v>121</v>
      </c>
      <c r="P83" s="796">
        <f>SUM(G83:G84)/G89</f>
        <v>1.4489336401118168E-2</v>
      </c>
      <c r="Q83" s="790">
        <v>0.05</v>
      </c>
      <c r="R83" s="790">
        <v>0.03</v>
      </c>
      <c r="S83" s="793" t="s">
        <v>313</v>
      </c>
      <c r="T83" s="52"/>
      <c r="U83" s="52"/>
      <c r="V83" s="52"/>
      <c r="W83" s="52"/>
      <c r="X83" s="52"/>
      <c r="Y83" s="52"/>
    </row>
    <row r="84" spans="1:25" s="1" customFormat="1" ht="18.75" thickBot="1" x14ac:dyDescent="0.3">
      <c r="A84" s="8">
        <v>42</v>
      </c>
      <c r="B84" s="167" t="s">
        <v>122</v>
      </c>
      <c r="C84" s="108"/>
      <c r="D84" s="87" t="s">
        <v>123</v>
      </c>
      <c r="E84" s="168" t="s">
        <v>89</v>
      </c>
      <c r="F84" s="168" t="s">
        <v>89</v>
      </c>
      <c r="G84" s="385">
        <f>'[1]FFIN2 Janeiro 2018'!$G$66</f>
        <v>8846188.6799999997</v>
      </c>
      <c r="H84" s="215">
        <f t="shared" si="11"/>
        <v>8.8726103812928649E-3</v>
      </c>
      <c r="I84" s="460">
        <f>'[1]FFIN2 Janeiro 2018'!$I$66</f>
        <v>1.24E-2</v>
      </c>
      <c r="J84" s="138"/>
      <c r="K84" s="208"/>
      <c r="L84" s="159" t="s">
        <v>71</v>
      </c>
      <c r="M84" s="446">
        <f>'[1]FFIN2 Janeiro 2018'!$M$66</f>
        <v>152679755.72999999</v>
      </c>
      <c r="N84" s="624">
        <f>G84/M84</f>
        <v>5.7939499822384215E-2</v>
      </c>
      <c r="O84" s="801"/>
      <c r="P84" s="798"/>
      <c r="Q84" s="792"/>
      <c r="R84" s="792"/>
      <c r="S84" s="795"/>
      <c r="T84" s="64"/>
      <c r="U84" s="64"/>
      <c r="V84" s="63"/>
      <c r="W84" s="64"/>
      <c r="X84" s="63"/>
      <c r="Y84" s="65"/>
    </row>
    <row r="85" spans="1:25" s="1" customFormat="1" ht="12" customHeight="1" thickBot="1" x14ac:dyDescent="0.3">
      <c r="A85" s="185"/>
      <c r="B85" s="186" t="s">
        <v>131</v>
      </c>
      <c r="C85" s="41"/>
      <c r="D85" s="42"/>
      <c r="E85" s="232"/>
      <c r="F85" s="232"/>
      <c r="G85" s="592">
        <f>SUM(G86:G88)</f>
        <v>7402692.6200000001</v>
      </c>
      <c r="H85" s="233">
        <f t="shared" si="11"/>
        <v>7.4248029027719183E-3</v>
      </c>
      <c r="I85" s="234"/>
      <c r="J85" s="235"/>
      <c r="K85" s="235"/>
      <c r="L85" s="235"/>
      <c r="M85" s="236"/>
      <c r="N85" s="131"/>
      <c r="O85" s="237"/>
      <c r="P85" s="238">
        <f>SUM((G58+G61+G63+G73+G82)/G89)*100</f>
        <v>16.788059885080557</v>
      </c>
      <c r="Q85" s="239"/>
      <c r="R85" s="240">
        <f>SUM(P58+P85+P86+P87)/100</f>
        <v>0.97832497423730724</v>
      </c>
      <c r="S85" s="51"/>
      <c r="T85" s="216"/>
      <c r="U85" s="216"/>
      <c r="V85" s="216"/>
      <c r="W85" s="216"/>
      <c r="X85" s="216"/>
    </row>
    <row r="86" spans="1:25" s="1" customFormat="1" ht="18" x14ac:dyDescent="0.25">
      <c r="A86" s="185">
        <v>46</v>
      </c>
      <c r="B86" s="241" t="s">
        <v>132</v>
      </c>
      <c r="C86" s="242"/>
      <c r="D86" s="243"/>
      <c r="E86" s="244"/>
      <c r="F86" s="245"/>
      <c r="G86" s="593">
        <f>'[1]FFIN2 Janeiro 2018'!$G$68</f>
        <v>392341.61</v>
      </c>
      <c r="H86" s="199">
        <f t="shared" si="11"/>
        <v>3.935134517048484E-4</v>
      </c>
      <c r="I86" s="142">
        <f>'[1]FFIN2 Janeiro 2018'!$I$68</f>
        <v>0</v>
      </c>
      <c r="J86" s="246"/>
      <c r="K86" s="247"/>
      <c r="L86" s="248"/>
      <c r="M86" s="249"/>
      <c r="N86" s="250"/>
      <c r="O86" s="803" t="s">
        <v>133</v>
      </c>
      <c r="P86" s="811">
        <f>SUM(G86:G88)/G89</f>
        <v>7.4248029027719183E-3</v>
      </c>
      <c r="Q86" s="574"/>
      <c r="R86" s="251"/>
      <c r="S86" s="245"/>
      <c r="T86" s="216"/>
      <c r="U86" s="216"/>
      <c r="V86" s="216"/>
      <c r="W86" s="216"/>
      <c r="X86" s="216"/>
    </row>
    <row r="87" spans="1:25" s="216" customFormat="1" ht="18.75" thickBot="1" x14ac:dyDescent="0.3">
      <c r="A87" s="8">
        <v>47</v>
      </c>
      <c r="B87" s="252" t="s">
        <v>134</v>
      </c>
      <c r="C87" s="253"/>
      <c r="D87" s="254"/>
      <c r="E87" s="255"/>
      <c r="F87" s="253"/>
      <c r="G87" s="384">
        <f>'[1]FFIN2 Janeiro 2018'!$G$69</f>
        <v>7000351.0099999998</v>
      </c>
      <c r="H87" s="256">
        <v>9.5999999999999992E-3</v>
      </c>
      <c r="I87" s="71">
        <f>'[1]FFIN2 Janeiro 2018'!$I$69</f>
        <v>0</v>
      </c>
      <c r="J87" s="257"/>
      <c r="K87" s="258"/>
      <c r="L87" s="259"/>
      <c r="M87" s="260"/>
      <c r="N87" s="261"/>
      <c r="O87" s="804"/>
      <c r="P87" s="812"/>
      <c r="Q87" s="253"/>
      <c r="R87" s="262"/>
      <c r="S87" s="255"/>
      <c r="T87" s="263"/>
      <c r="V87" s="264"/>
      <c r="Y87" s="1"/>
    </row>
    <row r="88" spans="1:25" s="216" customFormat="1" ht="18" x14ac:dyDescent="0.25">
      <c r="A88" s="8"/>
      <c r="B88" s="401" t="s">
        <v>213</v>
      </c>
      <c r="C88" s="242"/>
      <c r="D88" s="254"/>
      <c r="E88" s="402"/>
      <c r="F88" s="255"/>
      <c r="G88" s="384">
        <f>'[2]FFPREV Janeiro 2018'!$G$45</f>
        <v>10000</v>
      </c>
      <c r="H88" s="70">
        <f>G88/$G$83</f>
        <v>1.7857142857142857E-3</v>
      </c>
      <c r="I88" s="71">
        <f>'[2]FFPREV Janeiro 2018'!$I$45</f>
        <v>0</v>
      </c>
      <c r="J88" s="394"/>
      <c r="K88" s="395"/>
      <c r="L88" s="396"/>
      <c r="M88" s="397"/>
      <c r="N88" s="398"/>
      <c r="O88" s="576"/>
      <c r="P88" s="812"/>
      <c r="Q88" s="575"/>
      <c r="R88" s="399"/>
      <c r="S88" s="400"/>
      <c r="T88" s="263"/>
      <c r="V88" s="264"/>
      <c r="Y88" s="1"/>
    </row>
    <row r="89" spans="1:25" s="216" customFormat="1" ht="18.75" thickBot="1" x14ac:dyDescent="0.3">
      <c r="A89" s="8"/>
      <c r="B89" s="265" t="s">
        <v>135</v>
      </c>
      <c r="C89" s="266"/>
      <c r="D89" s="267"/>
      <c r="E89" s="268"/>
      <c r="F89" s="268"/>
      <c r="G89" s="594">
        <f>G4+G15+G28+G29+G30+G31+G32+G48+G49+G50+G51+G52+G56+G57+G58+G61+G63+G72+G73+G78+G82+G85</f>
        <v>997022105.08999991</v>
      </c>
      <c r="H89" s="269">
        <f>G89/$G$89</f>
        <v>1</v>
      </c>
      <c r="I89" s="270"/>
      <c r="J89" s="271"/>
      <c r="K89" s="272"/>
      <c r="L89" s="273"/>
      <c r="M89" s="274"/>
      <c r="N89" s="275"/>
      <c r="O89" s="577"/>
      <c r="P89" s="579">
        <f>SUM(P5+P16+P33+P53+P54+P59+P62+P64+P74+P79+P83+P86+P87)</f>
        <v>1</v>
      </c>
      <c r="Q89" s="578"/>
      <c r="R89" s="276"/>
      <c r="S89" s="277"/>
      <c r="T89" s="263"/>
      <c r="V89" s="264"/>
      <c r="Y89" s="1"/>
    </row>
    <row r="90" spans="1:25" s="216" customFormat="1" x14ac:dyDescent="0.25">
      <c r="A90" s="1"/>
      <c r="B90" s="278" t="str">
        <f>'[1]FFIN2 Janeiro 2018'!$B$71</f>
        <v>Meta Atuarial(INPC 0,23 + 0,486755)</v>
      </c>
      <c r="C90" s="278"/>
      <c r="D90" s="279"/>
      <c r="E90" s="279">
        <f>'[1]FFIN2 Janeiro 2018'!$E$71</f>
        <v>7.4000000000000003E-3</v>
      </c>
      <c r="F90" s="279"/>
      <c r="G90" s="278" t="s">
        <v>136</v>
      </c>
      <c r="H90" s="280">
        <f>'[1]FFIN2 Janeiro 2018'!$H$71</f>
        <v>0.1114</v>
      </c>
      <c r="I90" s="281"/>
      <c r="J90" s="278" t="s">
        <v>137</v>
      </c>
      <c r="K90" s="280">
        <f>'[1]FFIN2 Janeiro 2018'!$K$71</f>
        <v>2.64E-2</v>
      </c>
      <c r="L90" s="281"/>
      <c r="M90" s="282" t="s">
        <v>138</v>
      </c>
      <c r="N90" s="280">
        <f>'[1]FFIN2 Janeiro 2018'!$N$71</f>
        <v>1.2985E-2</v>
      </c>
      <c r="O90" s="1"/>
      <c r="P90" s="280" t="s">
        <v>317</v>
      </c>
      <c r="Q90" s="1"/>
      <c r="R90" s="280"/>
      <c r="S90" s="283">
        <v>2.7699999999999999E-2</v>
      </c>
      <c r="Y90" s="1"/>
    </row>
    <row r="91" spans="1:25" s="216" customFormat="1" x14ac:dyDescent="0.25">
      <c r="A91" s="1"/>
      <c r="B91" s="278" t="s">
        <v>139</v>
      </c>
      <c r="C91" s="284"/>
      <c r="D91" s="278"/>
      <c r="E91" s="285">
        <v>2.7699999999999999E-2</v>
      </c>
      <c r="F91" s="280"/>
      <c r="G91" s="278" t="s">
        <v>140</v>
      </c>
      <c r="H91" s="280">
        <f>'[1]FFIN2 Janeiro 2018'!$H$72</f>
        <v>0.1074</v>
      </c>
      <c r="I91" s="278"/>
      <c r="J91" s="278" t="s">
        <v>141</v>
      </c>
      <c r="K91" s="280">
        <f>'[1]FFIN2 Janeiro 2018'!$K$72</f>
        <v>3.4013000000000002E-2</v>
      </c>
      <c r="L91" s="280"/>
      <c r="M91" s="282" t="s">
        <v>142</v>
      </c>
      <c r="N91" s="280">
        <f>'[1]FFIN2 Janeiro 2018'!$N$72</f>
        <v>5.9239999999999996E-3</v>
      </c>
      <c r="O91" s="1"/>
      <c r="P91" s="286" t="s">
        <v>143</v>
      </c>
      <c r="Q91" s="1"/>
      <c r="R91" s="1"/>
      <c r="S91" s="283">
        <v>7.4000000000000003E-3</v>
      </c>
      <c r="Y91" s="1"/>
    </row>
    <row r="92" spans="1:25" s="216" customFormat="1" x14ac:dyDescent="0.25">
      <c r="A92" s="1"/>
      <c r="B92" s="278" t="s">
        <v>144</v>
      </c>
      <c r="C92" s="1"/>
      <c r="D92" s="280"/>
      <c r="E92" s="280">
        <f>'[1]FFIN2 Janeiro 2018'!$E$73</f>
        <v>2.3E-3</v>
      </c>
      <c r="F92" s="280"/>
      <c r="G92" s="278" t="s">
        <v>145</v>
      </c>
      <c r="H92" s="280">
        <f>'[1]FFIN2 Janeiro 2018'!$H$73</f>
        <v>0.1171</v>
      </c>
      <c r="I92" s="278"/>
      <c r="J92" s="278" t="s">
        <v>146</v>
      </c>
      <c r="K92" s="280">
        <f>'[1]FFIN2 Janeiro 2018'!$K$73</f>
        <v>1.7559999999999999E-2</v>
      </c>
      <c r="L92" s="280"/>
      <c r="M92" s="282" t="s">
        <v>147</v>
      </c>
      <c r="N92" s="280">
        <f>'[1]FFIN2 Janeiro 2018'!$N$73</f>
        <v>1.5476999999999999E-2</v>
      </c>
      <c r="O92" s="280"/>
      <c r="P92" s="286" t="s">
        <v>318</v>
      </c>
      <c r="Q92" s="1"/>
      <c r="R92" s="1"/>
      <c r="S92" s="283">
        <v>0.15740000000000001</v>
      </c>
      <c r="T92" s="287"/>
      <c r="Y92" s="1"/>
    </row>
    <row r="93" spans="1:25" s="216" customFormat="1" x14ac:dyDescent="0.25">
      <c r="A93" s="1"/>
      <c r="B93" s="278" t="s">
        <v>118</v>
      </c>
      <c r="C93" s="280"/>
      <c r="D93" s="280"/>
      <c r="E93" s="288">
        <f>'[1]FFIN2 Janeiro 2018'!$E$74</f>
        <v>5.7999999999999996E-3</v>
      </c>
      <c r="F93" s="288"/>
      <c r="G93" s="278" t="s">
        <v>148</v>
      </c>
      <c r="H93" s="280">
        <f>'[1]FFIN2 Janeiro 2018'!$H$74</f>
        <v>4.3400000000000001E-2</v>
      </c>
      <c r="I93" s="278"/>
      <c r="J93" s="278" t="s">
        <v>149</v>
      </c>
      <c r="K93" s="280">
        <f>'[1]FFIN2 Janeiro 2018'!$K$74</f>
        <v>1.3336000000000001E-2</v>
      </c>
      <c r="L93" s="280"/>
      <c r="M93" s="282" t="s">
        <v>150</v>
      </c>
      <c r="N93" s="280">
        <f>'[1]FFIN2 Janeiro 2018'!$N$74</f>
        <v>4.3695999999999999E-2</v>
      </c>
      <c r="O93" s="280"/>
      <c r="P93" s="286" t="s">
        <v>151</v>
      </c>
      <c r="Q93" s="1"/>
      <c r="R93" s="1"/>
      <c r="S93" s="283">
        <v>7.9299999999999995E-2</v>
      </c>
      <c r="Y93" s="1"/>
    </row>
    <row r="94" spans="1:25" s="216" customFormat="1" x14ac:dyDescent="0.25">
      <c r="A94" s="1"/>
      <c r="B94" s="278" t="s">
        <v>80</v>
      </c>
      <c r="C94" s="1"/>
      <c r="D94" s="280"/>
      <c r="E94" s="288">
        <f>'[1]FFIN2 Janeiro 2018'!$E$75</f>
        <v>2.8999999999999998E-3</v>
      </c>
      <c r="F94" s="288"/>
      <c r="G94" s="278" t="s">
        <v>112</v>
      </c>
      <c r="H94" s="280">
        <f>'[1]FFIN2 Janeiro 2018'!$H$75</f>
        <v>9.8799999999999999E-2</v>
      </c>
      <c r="I94" s="1"/>
      <c r="J94" s="278" t="s">
        <v>152</v>
      </c>
      <c r="K94" s="280">
        <f>'[1]FFIN2 Janeiro 2018'!$K$75</f>
        <v>4.9485000000000001E-2</v>
      </c>
      <c r="L94" s="1"/>
      <c r="M94" s="282" t="s">
        <v>153</v>
      </c>
      <c r="N94" s="280">
        <f>'[1]FFIN2 Janeiro 2018'!$N$75</f>
        <v>5.8300000000000001E-3</v>
      </c>
      <c r="O94" s="280"/>
      <c r="P94" s="286"/>
      <c r="Q94" s="1"/>
      <c r="R94" s="1"/>
      <c r="S94" s="289">
        <f>'[2]FFPREV Janeiro 2018'!$G$46</f>
        <v>234020168.92000002</v>
      </c>
      <c r="T94" s="290"/>
      <c r="Y94" s="1"/>
    </row>
    <row r="95" spans="1:25" s="216" customFormat="1" x14ac:dyDescent="0.25">
      <c r="A95" s="1"/>
      <c r="B95" s="1"/>
      <c r="C95" s="1"/>
      <c r="D95" s="1"/>
      <c r="E95" s="1"/>
      <c r="F95" s="1"/>
      <c r="G95" s="278"/>
      <c r="H95" s="280" t="s">
        <v>154</v>
      </c>
      <c r="I95" s="1"/>
      <c r="J95" s="278"/>
      <c r="K95" s="280"/>
      <c r="L95" s="1"/>
      <c r="M95" s="282"/>
      <c r="N95" s="291"/>
      <c r="O95" s="280"/>
      <c r="P95" s="1"/>
      <c r="Q95" s="1"/>
      <c r="R95" s="1"/>
      <c r="S95" s="292">
        <f>'[1]FFIN2 Janeiro 2018'!$G$70</f>
        <v>763001936.16999996</v>
      </c>
      <c r="Y95" s="1"/>
    </row>
    <row r="96" spans="1:25" s="1" customFormat="1" x14ac:dyDescent="0.25">
      <c r="D96" t="s">
        <v>155</v>
      </c>
      <c r="G96" s="293">
        <f>S96</f>
        <v>997022105.08999991</v>
      </c>
      <c r="H96" s="280"/>
      <c r="J96" s="278"/>
      <c r="K96" s="280"/>
      <c r="M96" s="294"/>
      <c r="N96" s="291"/>
      <c r="O96" s="280"/>
      <c r="S96" s="295">
        <f>S94+S95</f>
        <v>997022105.08999991</v>
      </c>
      <c r="T96" s="216"/>
      <c r="U96" s="216"/>
      <c r="V96" s="216"/>
      <c r="W96" s="216"/>
      <c r="X96" s="216"/>
    </row>
    <row r="97" spans="1:25" s="7" customFormat="1" x14ac:dyDescent="0.25">
      <c r="A97"/>
      <c r="B97"/>
      <c r="C97"/>
      <c r="D97"/>
      <c r="E97"/>
      <c r="F97"/>
      <c r="G97" s="296"/>
      <c r="H97" s="297"/>
      <c r="I97"/>
      <c r="J97" s="298"/>
      <c r="K97" s="297"/>
      <c r="L97"/>
      <c r="M97" s="299"/>
      <c r="N97" s="300"/>
      <c r="O97"/>
      <c r="P97"/>
      <c r="Q97"/>
      <c r="R97"/>
      <c r="S97" s="295"/>
      <c r="Y97"/>
    </row>
    <row r="98" spans="1:25" s="7" customFormat="1" x14ac:dyDescent="0.25">
      <c r="A98"/>
      <c r="B98" s="278"/>
      <c r="C98" s="278"/>
      <c r="D98" s="278"/>
      <c r="E98" s="279"/>
      <c r="F98" s="279"/>
      <c r="G98" s="296"/>
      <c r="H98" s="300"/>
      <c r="I98"/>
      <c r="J98"/>
      <c r="K98"/>
      <c r="L98"/>
      <c r="M98" s="299"/>
      <c r="N98" s="300"/>
      <c r="O98"/>
      <c r="P98"/>
      <c r="Q98"/>
      <c r="R98"/>
      <c r="S98"/>
      <c r="Y98"/>
    </row>
    <row r="99" spans="1:25" s="7" customFormat="1" x14ac:dyDescent="0.25">
      <c r="A99"/>
      <c r="B99" s="278"/>
      <c r="C99" s="278"/>
      <c r="D99" s="278"/>
      <c r="E99" s="280"/>
      <c r="F99" s="280"/>
      <c r="G99" s="301"/>
      <c r="H99" s="300"/>
      <c r="I99"/>
      <c r="J99"/>
      <c r="K99"/>
      <c r="L99"/>
      <c r="M99" s="299"/>
      <c r="N99" s="300"/>
      <c r="O99"/>
      <c r="P99"/>
      <c r="Q99"/>
      <c r="R99"/>
      <c r="S99"/>
      <c r="Y99"/>
    </row>
    <row r="100" spans="1:25" s="7" customFormat="1" x14ac:dyDescent="0.25">
      <c r="A100"/>
      <c r="B100" s="278"/>
      <c r="C100" s="1"/>
      <c r="D100" s="280"/>
      <c r="E100" s="280"/>
      <c r="F100" s="280"/>
      <c r="G100" s="296"/>
      <c r="H100" s="300"/>
      <c r="I100"/>
      <c r="J100"/>
      <c r="K100"/>
      <c r="L100"/>
      <c r="M100" s="299"/>
      <c r="N100" s="300"/>
      <c r="O100"/>
      <c r="P100"/>
      <c r="Q100"/>
      <c r="R100"/>
      <c r="S100"/>
      <c r="Y100"/>
    </row>
    <row r="101" spans="1:25" s="7" customFormat="1" x14ac:dyDescent="0.25">
      <c r="A101"/>
      <c r="B101" s="278"/>
      <c r="C101" s="280"/>
      <c r="D101" s="280"/>
      <c r="E101" s="286"/>
      <c r="F101" s="286"/>
      <c r="G101" s="296"/>
      <c r="H101" s="300"/>
      <c r="I101"/>
      <c r="J101"/>
      <c r="K101"/>
      <c r="L101"/>
      <c r="M101" s="299" t="s">
        <v>156</v>
      </c>
      <c r="N101" s="300"/>
      <c r="O101"/>
      <c r="P101"/>
      <c r="Q101"/>
      <c r="R101"/>
      <c r="S101"/>
      <c r="Y101"/>
    </row>
    <row r="102" spans="1:25" s="7" customFormat="1" x14ac:dyDescent="0.25">
      <c r="A102"/>
      <c r="B102" s="278" t="s">
        <v>60</v>
      </c>
      <c r="C102" s="1"/>
      <c r="D102" s="280" t="s">
        <v>157</v>
      </c>
      <c r="E102" s="302">
        <v>2.0299999999999999E-2</v>
      </c>
      <c r="F102" s="1"/>
      <c r="G102" s="296">
        <f>G4+G15+G28+G29+G30+G31+G32+G48+G49+G50+G51+G52+G56+G57</f>
        <v>807956930.27999997</v>
      </c>
      <c r="H102" s="300">
        <f>G102/G105</f>
        <v>0.81037012735747382</v>
      </c>
      <c r="I102"/>
      <c r="J102" t="s">
        <v>60</v>
      </c>
      <c r="K102"/>
      <c r="L102"/>
      <c r="M102" s="303">
        <f>G102+'[4]FFINPrev Setembro 2017'!$G$57</f>
        <v>996692138.63</v>
      </c>
      <c r="N102" s="300">
        <f>M102/M105</f>
        <v>0.82916853583130934</v>
      </c>
      <c r="O102"/>
      <c r="P102"/>
      <c r="Q102"/>
      <c r="R102"/>
      <c r="S102"/>
      <c r="Y102"/>
    </row>
    <row r="103" spans="1:25" s="7" customFormat="1" x14ac:dyDescent="0.25">
      <c r="A103"/>
      <c r="B103" t="s">
        <v>96</v>
      </c>
      <c r="C103"/>
      <c r="D103" s="280" t="s">
        <v>157</v>
      </c>
      <c r="E103" s="302">
        <v>6.1899999999999997E-2</v>
      </c>
      <c r="F103">
        <v>3.71</v>
      </c>
      <c r="G103" s="296">
        <f>G58+G61+G63+G72+G73+G78+G82</f>
        <v>181662482.19</v>
      </c>
      <c r="H103" s="300">
        <f>G103/G105</f>
        <v>0.1822050697397542</v>
      </c>
      <c r="I103"/>
      <c r="J103" t="s">
        <v>96</v>
      </c>
      <c r="K103"/>
      <c r="L103"/>
      <c r="M103" s="303">
        <f>G103+'[4]FFINPrev Setembro 2017'!$G$58</f>
        <v>197941199.24000001</v>
      </c>
      <c r="N103" s="300">
        <f>M103/M105</f>
        <v>0.16467132426681322</v>
      </c>
      <c r="O103"/>
      <c r="P103"/>
      <c r="Q103"/>
      <c r="R103"/>
      <c r="S103"/>
      <c r="Y103"/>
    </row>
    <row r="104" spans="1:25" s="7" customFormat="1" x14ac:dyDescent="0.25">
      <c r="A104"/>
      <c r="B104" t="s">
        <v>158</v>
      </c>
      <c r="C104"/>
      <c r="D104"/>
      <c r="E104" s="304"/>
      <c r="F104"/>
      <c r="G104" s="296">
        <f>G85</f>
        <v>7402692.6200000001</v>
      </c>
      <c r="H104" s="300">
        <f>G104/G105</f>
        <v>7.4248029027719174E-3</v>
      </c>
      <c r="I104"/>
      <c r="J104" t="s">
        <v>159</v>
      </c>
      <c r="K104"/>
      <c r="L104"/>
      <c r="M104" s="303">
        <f>G104+'[4]FFINPrev Setembro 2017'!$G$59</f>
        <v>7404722.6200000001</v>
      </c>
      <c r="N104" s="300">
        <f>M104/M105</f>
        <v>6.1601399018775937E-3</v>
      </c>
      <c r="O104"/>
      <c r="P104"/>
      <c r="Q104"/>
      <c r="R104"/>
      <c r="S104"/>
      <c r="Y104"/>
    </row>
    <row r="105" spans="1:25" s="7" customFormat="1" x14ac:dyDescent="0.25">
      <c r="A105"/>
      <c r="B105"/>
      <c r="C105"/>
      <c r="D105"/>
      <c r="E105" s="302">
        <v>2.7699999999999999E-2</v>
      </c>
      <c r="F105">
        <v>3.19</v>
      </c>
      <c r="G105" s="296">
        <f>G102+G103+G104</f>
        <v>997022105.09000003</v>
      </c>
      <c r="H105" s="300">
        <f>SUM(H102:H104)</f>
        <v>1</v>
      </c>
      <c r="I105"/>
      <c r="J105" s="7" t="s">
        <v>160</v>
      </c>
      <c r="M105" s="303">
        <f>M102+M103+M104</f>
        <v>1202038060.4899998</v>
      </c>
      <c r="N105" s="300">
        <f>N102+N103+N104</f>
        <v>1.0000000000000002</v>
      </c>
      <c r="O105"/>
      <c r="P105"/>
      <c r="Q105"/>
      <c r="R105"/>
      <c r="S105"/>
      <c r="Y105"/>
    </row>
    <row r="106" spans="1:25" s="7" customFormat="1" x14ac:dyDescent="0.25">
      <c r="A106"/>
      <c r="B106"/>
      <c r="C106"/>
      <c r="D106"/>
      <c r="E106" s="305"/>
      <c r="F106"/>
      <c r="G106" s="1"/>
      <c r="H106" s="300"/>
      <c r="I106"/>
      <c r="J106"/>
      <c r="K106"/>
      <c r="L106"/>
      <c r="M106" s="299"/>
      <c r="N106" s="300"/>
      <c r="O106"/>
      <c r="P106"/>
      <c r="Q106"/>
      <c r="R106"/>
      <c r="S106"/>
      <c r="Y106"/>
    </row>
    <row r="107" spans="1:25" s="7" customFormat="1" x14ac:dyDescent="0.25">
      <c r="A107"/>
      <c r="B107"/>
      <c r="C107"/>
      <c r="D107"/>
      <c r="E107"/>
      <c r="F107"/>
      <c r="G107" s="1"/>
      <c r="H107" s="300"/>
      <c r="I107"/>
      <c r="J107"/>
      <c r="K107"/>
      <c r="L107"/>
      <c r="M107" s="299"/>
      <c r="N107" s="300"/>
      <c r="O107"/>
      <c r="P107"/>
      <c r="Q107"/>
      <c r="R107"/>
      <c r="S107"/>
      <c r="Y107"/>
    </row>
    <row r="108" spans="1:25" s="7" customFormat="1" x14ac:dyDescent="0.25">
      <c r="A108"/>
      <c r="B108"/>
      <c r="C108"/>
      <c r="D108"/>
      <c r="E108"/>
      <c r="F108"/>
      <c r="G108" s="1"/>
      <c r="H108" s="300"/>
      <c r="I108"/>
      <c r="J108"/>
      <c r="K108"/>
      <c r="L108"/>
      <c r="M108" s="299"/>
      <c r="N108" s="300"/>
      <c r="O108"/>
      <c r="P108"/>
      <c r="Q108"/>
      <c r="R108"/>
      <c r="S108"/>
      <c r="Y108"/>
    </row>
    <row r="109" spans="1:25" x14ac:dyDescent="0.25">
      <c r="A109" s="545"/>
      <c r="B109" s="545"/>
      <c r="C109" s="545"/>
      <c r="D109" s="546"/>
      <c r="E109" s="545"/>
      <c r="F109" s="545"/>
      <c r="G109" s="547"/>
      <c r="H109" s="548"/>
      <c r="I109" s="545"/>
      <c r="J109" s="286"/>
      <c r="K109" s="548"/>
      <c r="L109" s="545"/>
      <c r="M109" s="545"/>
      <c r="N109" s="545"/>
      <c r="O109" s="548"/>
      <c r="P109" s="549"/>
      <c r="Q109" s="545"/>
      <c r="R109" s="545"/>
      <c r="S109" s="550"/>
      <c r="T109" s="550"/>
    </row>
    <row r="110" spans="1:25" x14ac:dyDescent="0.25">
      <c r="A110" s="545"/>
      <c r="B110" s="545"/>
      <c r="C110" s="545"/>
      <c r="D110" s="286" t="s">
        <v>167</v>
      </c>
      <c r="E110" s="551">
        <v>2.0299999999999999E-2</v>
      </c>
      <c r="F110" s="545"/>
      <c r="G110" s="598">
        <f>G116</f>
        <v>807956930.27999997</v>
      </c>
      <c r="H110" s="596">
        <f>G110/G113</f>
        <v>0.81037012735747382</v>
      </c>
      <c r="I110" s="545"/>
      <c r="J110" s="286"/>
      <c r="K110" s="548"/>
      <c r="L110" s="545"/>
      <c r="M110" s="545"/>
      <c r="N110" s="545"/>
      <c r="O110" s="548"/>
      <c r="P110" s="549"/>
      <c r="Q110" s="545"/>
      <c r="R110" s="545"/>
      <c r="S110" s="552"/>
      <c r="T110" s="552"/>
    </row>
    <row r="111" spans="1:25" x14ac:dyDescent="0.25">
      <c r="A111" s="545" t="s">
        <v>246</v>
      </c>
      <c r="B111" s="545" t="s">
        <v>247</v>
      </c>
      <c r="C111" s="545"/>
      <c r="D111" s="286" t="s">
        <v>248</v>
      </c>
      <c r="E111" s="551">
        <v>6.1899999999999997E-2</v>
      </c>
      <c r="F111" s="545"/>
      <c r="G111" s="598">
        <f>G131</f>
        <v>181662482.19</v>
      </c>
      <c r="H111" s="596">
        <f>G111/G113</f>
        <v>0.1822050697397542</v>
      </c>
      <c r="I111" s="545"/>
      <c r="J111" s="286"/>
      <c r="K111" s="548"/>
      <c r="L111" s="545"/>
      <c r="M111" s="545"/>
      <c r="N111" s="545"/>
      <c r="O111" s="548"/>
      <c r="P111" s="549"/>
      <c r="Q111" s="545"/>
      <c r="R111" s="545"/>
      <c r="S111" s="552"/>
      <c r="T111" s="552"/>
    </row>
    <row r="112" spans="1:25" x14ac:dyDescent="0.25">
      <c r="A112" s="545">
        <v>2011</v>
      </c>
      <c r="B112" s="553" t="s">
        <v>249</v>
      </c>
      <c r="C112" s="545"/>
      <c r="D112" s="286"/>
      <c r="E112" s="551">
        <v>0</v>
      </c>
      <c r="F112" s="545"/>
      <c r="G112" s="598">
        <f>G139</f>
        <v>7402692.6200000001</v>
      </c>
      <c r="H112" s="596">
        <f>G112/G113</f>
        <v>7.4248029027719174E-3</v>
      </c>
      <c r="I112" s="545"/>
      <c r="J112" s="286"/>
      <c r="K112" s="548"/>
      <c r="L112" s="545"/>
      <c r="M112" s="545"/>
      <c r="N112" s="545"/>
      <c r="O112" s="548"/>
      <c r="P112" s="549"/>
      <c r="Q112" s="545"/>
      <c r="R112" s="545"/>
      <c r="S112" s="552"/>
      <c r="T112" s="552"/>
    </row>
    <row r="113" spans="1:20" x14ac:dyDescent="0.25">
      <c r="A113" s="545">
        <v>2012</v>
      </c>
      <c r="B113" s="553" t="s">
        <v>250</v>
      </c>
      <c r="C113" s="545">
        <v>22.41</v>
      </c>
      <c r="D113" s="286"/>
      <c r="E113" s="551">
        <v>2.7699999999999999E-2</v>
      </c>
      <c r="F113" s="545"/>
      <c r="G113" s="600">
        <f>G110+G111+G112</f>
        <v>997022105.09000003</v>
      </c>
      <c r="H113" s="596">
        <f>SUM(H110:H112)</f>
        <v>1</v>
      </c>
      <c r="I113" s="545"/>
      <c r="J113" s="286"/>
      <c r="K113" s="548"/>
      <c r="L113" s="545"/>
      <c r="M113" s="545"/>
      <c r="N113" s="545"/>
      <c r="O113" s="548"/>
      <c r="P113" s="549"/>
      <c r="Q113" s="545"/>
      <c r="R113" s="545"/>
      <c r="S113" s="552"/>
      <c r="T113" s="552"/>
    </row>
    <row r="114" spans="1:20" x14ac:dyDescent="0.25">
      <c r="A114" s="545">
        <v>2013</v>
      </c>
      <c r="B114" s="545" t="s">
        <v>251</v>
      </c>
      <c r="C114" s="545"/>
      <c r="D114" s="546"/>
      <c r="E114" s="545"/>
      <c r="F114" s="545"/>
      <c r="G114" s="293"/>
      <c r="H114" s="596"/>
      <c r="I114" s="545"/>
      <c r="J114" s="286"/>
      <c r="K114" s="548"/>
      <c r="L114" s="545"/>
      <c r="M114" s="545"/>
      <c r="N114" s="545"/>
      <c r="O114" s="548"/>
      <c r="P114" s="549"/>
      <c r="Q114" s="545"/>
      <c r="R114" s="545"/>
      <c r="S114" s="552"/>
      <c r="T114" s="552"/>
    </row>
    <row r="115" spans="1:20" ht="18.75" x14ac:dyDescent="0.3">
      <c r="A115" s="545">
        <v>2014</v>
      </c>
      <c r="B115" s="545" t="s">
        <v>252</v>
      </c>
      <c r="C115" s="546"/>
      <c r="D115" s="566" t="s">
        <v>326</v>
      </c>
      <c r="E115" s="566"/>
      <c r="F115" s="566"/>
      <c r="G115" s="601">
        <f>G116+G131+G139</f>
        <v>997022105.09000003</v>
      </c>
      <c r="H115" s="602">
        <f t="shared" ref="H115:H139" si="12">G115/$G$113</f>
        <v>1</v>
      </c>
      <c r="I115" s="546"/>
      <c r="J115" s="546"/>
      <c r="M115" s="546"/>
      <c r="N115" s="546"/>
      <c r="O115" s="546"/>
      <c r="P115" s="556"/>
      <c r="Q115" s="546"/>
      <c r="R115" s="546"/>
      <c r="S115" s="552"/>
      <c r="T115" s="552"/>
    </row>
    <row r="116" spans="1:20" x14ac:dyDescent="0.25">
      <c r="A116" s="545">
        <v>2015</v>
      </c>
      <c r="B116" s="557" t="s">
        <v>255</v>
      </c>
      <c r="C116" s="286"/>
      <c r="D116" s="558" t="s">
        <v>235</v>
      </c>
      <c r="E116" s="559"/>
      <c r="F116" s="559"/>
      <c r="G116" s="603">
        <f>SUM(G117:G130)</f>
        <v>807956930.27999997</v>
      </c>
      <c r="H116" s="604">
        <f t="shared" si="12"/>
        <v>0.81037012735747382</v>
      </c>
      <c r="I116" s="555" t="s">
        <v>253</v>
      </c>
      <c r="J116" s="567" t="s">
        <v>254</v>
      </c>
      <c r="M116" s="546"/>
      <c r="N116" s="546"/>
      <c r="O116" s="546"/>
      <c r="P116" s="556"/>
      <c r="Q116" s="546"/>
      <c r="R116" s="546"/>
      <c r="S116" s="546"/>
      <c r="T116" s="546"/>
    </row>
    <row r="117" spans="1:20" x14ac:dyDescent="0.25">
      <c r="A117" s="545">
        <v>2016</v>
      </c>
      <c r="B117" s="557" t="s">
        <v>256</v>
      </c>
      <c r="C117" s="286"/>
      <c r="D117" s="560" t="s">
        <v>315</v>
      </c>
      <c r="E117" s="545"/>
      <c r="F117" s="545"/>
      <c r="G117" s="598">
        <f>G4</f>
        <v>166025250.58000001</v>
      </c>
      <c r="H117" s="597">
        <f t="shared" si="12"/>
        <v>0.16652113301441104</v>
      </c>
      <c r="I117" s="556">
        <v>1</v>
      </c>
      <c r="J117" s="556">
        <v>0.4</v>
      </c>
      <c r="M117" s="546"/>
      <c r="N117" s="546"/>
      <c r="O117" s="546"/>
      <c r="P117" s="556"/>
      <c r="Q117" s="546"/>
      <c r="R117" s="546"/>
      <c r="S117" s="546"/>
      <c r="T117" s="546"/>
    </row>
    <row r="118" spans="1:20" x14ac:dyDescent="0.25">
      <c r="A118" s="546">
        <v>2017</v>
      </c>
      <c r="B118" s="557" t="s">
        <v>314</v>
      </c>
      <c r="C118" s="286"/>
      <c r="D118" s="560" t="s">
        <v>276</v>
      </c>
      <c r="E118" s="545"/>
      <c r="F118" s="545"/>
      <c r="G118" s="598">
        <f>G15</f>
        <v>401162121.70999998</v>
      </c>
      <c r="H118" s="597">
        <f t="shared" si="12"/>
        <v>0.40236030842444315</v>
      </c>
      <c r="I118" s="556">
        <v>1</v>
      </c>
      <c r="J118" s="556">
        <v>0.5</v>
      </c>
      <c r="M118" s="546"/>
      <c r="N118" s="546"/>
      <c r="O118" s="546"/>
      <c r="P118" s="556"/>
      <c r="Q118" s="546"/>
      <c r="R118" s="546"/>
      <c r="S118" s="546"/>
      <c r="T118" s="546"/>
    </row>
    <row r="119" spans="1:20" x14ac:dyDescent="0.25">
      <c r="A119" s="546"/>
      <c r="B119" s="286"/>
      <c r="C119" s="286"/>
      <c r="D119" s="560" t="s">
        <v>277</v>
      </c>
      <c r="E119" s="545"/>
      <c r="F119" s="545"/>
      <c r="G119" s="598">
        <f>G28</f>
        <v>0</v>
      </c>
      <c r="H119" s="597">
        <f t="shared" si="12"/>
        <v>0</v>
      </c>
      <c r="I119" s="556">
        <v>1</v>
      </c>
      <c r="J119" s="556">
        <v>0</v>
      </c>
      <c r="M119" s="546"/>
      <c r="N119" s="546"/>
      <c r="O119" s="546"/>
      <c r="P119" s="556"/>
      <c r="Q119" s="546"/>
      <c r="R119" s="546"/>
      <c r="S119" s="546"/>
      <c r="T119" s="546"/>
    </row>
    <row r="120" spans="1:20" x14ac:dyDescent="0.25">
      <c r="A120" s="546"/>
      <c r="B120" s="286"/>
      <c r="C120" s="286"/>
      <c r="D120" s="561" t="s">
        <v>278</v>
      </c>
      <c r="E120" s="548"/>
      <c r="F120" s="548"/>
      <c r="G120" s="598">
        <f>G29</f>
        <v>0</v>
      </c>
      <c r="H120" s="597">
        <f t="shared" si="12"/>
        <v>0</v>
      </c>
      <c r="I120" s="556">
        <v>0.05</v>
      </c>
      <c r="J120" s="556">
        <v>0</v>
      </c>
      <c r="M120" s="546"/>
      <c r="N120" s="546"/>
      <c r="O120" s="546"/>
      <c r="P120" s="556"/>
      <c r="Q120" s="546"/>
      <c r="R120" s="546"/>
      <c r="S120" s="546"/>
      <c r="T120" s="546"/>
    </row>
    <row r="121" spans="1:20" x14ac:dyDescent="0.25">
      <c r="A121" s="546"/>
      <c r="B121" s="286"/>
      <c r="C121" s="286"/>
      <c r="D121" s="561" t="s">
        <v>279</v>
      </c>
      <c r="E121" s="548"/>
      <c r="F121" s="548"/>
      <c r="G121" s="598">
        <f>G30</f>
        <v>0</v>
      </c>
      <c r="H121" s="597">
        <f t="shared" si="12"/>
        <v>0</v>
      </c>
      <c r="I121" s="556">
        <v>0.6</v>
      </c>
      <c r="J121" s="556">
        <v>0.35</v>
      </c>
      <c r="M121" s="546"/>
      <c r="N121" s="546"/>
      <c r="O121" s="546"/>
      <c r="P121" s="556"/>
      <c r="Q121" s="546"/>
      <c r="R121" s="546"/>
      <c r="S121" s="546"/>
      <c r="T121" s="546"/>
    </row>
    <row r="122" spans="1:20" x14ac:dyDescent="0.25">
      <c r="A122" s="546"/>
      <c r="B122" s="286"/>
      <c r="C122" s="545"/>
      <c r="D122" s="560" t="s">
        <v>280</v>
      </c>
      <c r="E122" s="548"/>
      <c r="F122" s="548"/>
      <c r="G122" s="598">
        <f>G31</f>
        <v>0</v>
      </c>
      <c r="H122" s="597">
        <f t="shared" si="12"/>
        <v>0</v>
      </c>
      <c r="I122" s="556">
        <v>0.6</v>
      </c>
      <c r="J122" s="556">
        <v>0</v>
      </c>
      <c r="M122" s="546"/>
      <c r="N122" s="546"/>
      <c r="O122" s="546"/>
      <c r="P122" s="556"/>
      <c r="Q122" s="546"/>
      <c r="R122" s="546"/>
      <c r="S122" s="546"/>
      <c r="T122" s="546"/>
    </row>
    <row r="123" spans="1:20" x14ac:dyDescent="0.25">
      <c r="A123" s="546"/>
      <c r="B123" s="286"/>
      <c r="C123" s="548"/>
      <c r="D123" s="560" t="s">
        <v>281</v>
      </c>
      <c r="E123" s="286"/>
      <c r="F123" s="286"/>
      <c r="G123" s="598">
        <f>G32</f>
        <v>233719547.98999998</v>
      </c>
      <c r="H123" s="597">
        <f t="shared" si="12"/>
        <v>0.23441761902450736</v>
      </c>
      <c r="I123" s="556">
        <v>0.4</v>
      </c>
      <c r="J123" s="556">
        <v>0.3</v>
      </c>
      <c r="M123" s="546"/>
      <c r="N123" s="546"/>
      <c r="O123" s="546"/>
      <c r="P123" s="556"/>
      <c r="Q123" s="546"/>
      <c r="R123" s="546"/>
      <c r="S123" s="546"/>
      <c r="T123" s="546"/>
    </row>
    <row r="124" spans="1:20" x14ac:dyDescent="0.25">
      <c r="A124" s="546"/>
      <c r="B124" s="286"/>
      <c r="C124" s="548"/>
      <c r="D124" s="560" t="s">
        <v>282</v>
      </c>
      <c r="E124" s="286"/>
      <c r="F124" s="286"/>
      <c r="G124" s="598">
        <f>G48</f>
        <v>0</v>
      </c>
      <c r="H124" s="597">
        <f t="shared" si="12"/>
        <v>0</v>
      </c>
      <c r="I124" s="556">
        <v>0.4</v>
      </c>
      <c r="J124" s="556">
        <v>0</v>
      </c>
      <c r="K124" s="556"/>
      <c r="L124" s="556"/>
      <c r="M124" s="546"/>
      <c r="N124" s="546"/>
      <c r="O124" s="546"/>
      <c r="P124" s="556"/>
      <c r="Q124" s="546"/>
      <c r="R124" s="546"/>
      <c r="S124" s="546"/>
      <c r="T124" s="546"/>
    </row>
    <row r="125" spans="1:20" x14ac:dyDescent="0.25">
      <c r="A125" s="546"/>
      <c r="B125" s="286"/>
      <c r="C125" s="548"/>
      <c r="D125" s="560" t="s">
        <v>283</v>
      </c>
      <c r="E125" s="286"/>
      <c r="F125" s="286"/>
      <c r="G125" s="598">
        <f>G49</f>
        <v>0</v>
      </c>
      <c r="H125" s="597">
        <f t="shared" si="12"/>
        <v>0</v>
      </c>
      <c r="I125" s="556">
        <v>0.2</v>
      </c>
      <c r="J125" s="556">
        <v>0</v>
      </c>
      <c r="K125" s="556"/>
      <c r="L125" s="556"/>
      <c r="M125" s="546"/>
      <c r="N125" s="546"/>
      <c r="O125" s="546"/>
      <c r="P125" s="556"/>
      <c r="Q125" s="546"/>
      <c r="R125" s="546"/>
      <c r="S125" s="546"/>
      <c r="T125" s="546"/>
    </row>
    <row r="126" spans="1:20" x14ac:dyDescent="0.25">
      <c r="A126" s="546"/>
      <c r="B126" s="286"/>
      <c r="C126" s="548"/>
      <c r="D126" s="560" t="s">
        <v>284</v>
      </c>
      <c r="E126" s="286"/>
      <c r="F126" s="286"/>
      <c r="G126" s="598">
        <f>G50</f>
        <v>0</v>
      </c>
      <c r="H126" s="597">
        <f t="shared" si="12"/>
        <v>0</v>
      </c>
      <c r="I126" s="556">
        <v>0.15</v>
      </c>
      <c r="J126" s="556">
        <v>0</v>
      </c>
      <c r="K126" s="556"/>
      <c r="L126" s="556"/>
      <c r="M126" s="546"/>
      <c r="N126" s="546"/>
      <c r="O126" s="546"/>
      <c r="P126" s="556"/>
      <c r="Q126" s="546"/>
      <c r="R126" s="546"/>
      <c r="S126" s="546"/>
      <c r="T126" s="546"/>
    </row>
    <row r="127" spans="1:20" x14ac:dyDescent="0.25">
      <c r="A127" s="546"/>
      <c r="B127" s="286"/>
      <c r="C127" s="548"/>
      <c r="D127" s="560" t="s">
        <v>285</v>
      </c>
      <c r="E127" s="286"/>
      <c r="F127" s="286"/>
      <c r="G127" s="598">
        <f>G51</f>
        <v>0</v>
      </c>
      <c r="H127" s="597">
        <f t="shared" si="12"/>
        <v>0</v>
      </c>
      <c r="I127" s="556">
        <v>0.15</v>
      </c>
      <c r="J127" s="556">
        <v>0</v>
      </c>
      <c r="K127" s="556"/>
      <c r="L127" s="556"/>
      <c r="M127" s="546"/>
      <c r="N127" s="546"/>
      <c r="O127" s="546"/>
      <c r="P127" s="556"/>
      <c r="Q127" s="546"/>
      <c r="R127" s="546"/>
      <c r="S127" s="546"/>
      <c r="T127" s="546"/>
    </row>
    <row r="128" spans="1:20" x14ac:dyDescent="0.25">
      <c r="A128" s="546"/>
      <c r="B128" s="286"/>
      <c r="C128" s="548"/>
      <c r="D128" s="560" t="s">
        <v>286</v>
      </c>
      <c r="E128" s="286"/>
      <c r="F128" s="286"/>
      <c r="G128" s="598">
        <f>G52</f>
        <v>7050010</v>
      </c>
      <c r="H128" s="597">
        <f t="shared" si="12"/>
        <v>7.071066894112246E-3</v>
      </c>
      <c r="I128" s="556">
        <v>0.05</v>
      </c>
      <c r="J128" s="556">
        <v>0.02</v>
      </c>
      <c r="K128" s="556"/>
      <c r="L128" s="556"/>
      <c r="M128" s="546"/>
      <c r="N128" s="546"/>
      <c r="O128" s="546"/>
      <c r="P128" s="556"/>
      <c r="Q128" s="546"/>
      <c r="R128" s="546"/>
      <c r="S128" s="546"/>
      <c r="T128" s="546"/>
    </row>
    <row r="129" spans="1:20" x14ac:dyDescent="0.25">
      <c r="A129" s="546"/>
      <c r="B129" s="286"/>
      <c r="C129" s="548"/>
      <c r="D129" s="560" t="s">
        <v>287</v>
      </c>
      <c r="E129" s="286"/>
      <c r="F129" s="286"/>
      <c r="G129" s="598">
        <f>G56</f>
        <v>0</v>
      </c>
      <c r="H129" s="597">
        <f t="shared" si="12"/>
        <v>0</v>
      </c>
      <c r="I129" s="556">
        <v>0.05</v>
      </c>
      <c r="J129" s="556">
        <v>0.01</v>
      </c>
      <c r="K129" s="556"/>
      <c r="L129" s="556"/>
      <c r="M129" s="546"/>
      <c r="N129" s="546"/>
      <c r="O129" s="546"/>
      <c r="P129" s="556"/>
      <c r="Q129" s="546"/>
      <c r="R129" s="546"/>
      <c r="S129" s="546"/>
      <c r="T129" s="546"/>
    </row>
    <row r="130" spans="1:20" x14ac:dyDescent="0.25">
      <c r="A130" s="546"/>
      <c r="B130" s="286"/>
      <c r="C130" s="548"/>
      <c r="D130" s="560" t="s">
        <v>288</v>
      </c>
      <c r="E130" s="286"/>
      <c r="F130" s="286"/>
      <c r="G130" s="598">
        <f>G57</f>
        <v>0</v>
      </c>
      <c r="H130" s="597">
        <f t="shared" si="12"/>
        <v>0</v>
      </c>
      <c r="I130" s="556">
        <v>0.05</v>
      </c>
      <c r="J130" s="556">
        <v>0</v>
      </c>
      <c r="K130" s="556"/>
      <c r="L130" s="556"/>
      <c r="M130" s="546"/>
      <c r="N130" s="546"/>
      <c r="O130" s="546"/>
      <c r="P130" s="556"/>
      <c r="Q130" s="546"/>
      <c r="R130" s="546"/>
      <c r="S130" s="546"/>
      <c r="T130" s="546"/>
    </row>
    <row r="131" spans="1:20" x14ac:dyDescent="0.25">
      <c r="A131" s="546"/>
      <c r="B131" s="286"/>
      <c r="C131" s="548"/>
      <c r="D131" s="564" t="s">
        <v>275</v>
      </c>
      <c r="E131" s="565"/>
      <c r="F131" s="565"/>
      <c r="G131" s="605">
        <f>SUM(G132:G138)</f>
        <v>181662482.19</v>
      </c>
      <c r="H131" s="604">
        <f t="shared" si="12"/>
        <v>0.1822050697397542</v>
      </c>
      <c r="I131" s="556"/>
      <c r="J131" s="556"/>
      <c r="K131" s="556"/>
      <c r="L131" s="556"/>
      <c r="M131" s="546"/>
      <c r="N131" s="546"/>
      <c r="O131" s="546"/>
      <c r="P131" s="556"/>
      <c r="Q131" s="546"/>
      <c r="R131" s="546"/>
      <c r="S131" s="546"/>
      <c r="T131" s="546"/>
    </row>
    <row r="132" spans="1:20" x14ac:dyDescent="0.25">
      <c r="A132" s="546"/>
      <c r="B132" s="286"/>
      <c r="C132" s="548"/>
      <c r="D132" s="560" t="s">
        <v>290</v>
      </c>
      <c r="E132" s="286"/>
      <c r="F132" s="286"/>
      <c r="G132" s="598">
        <f>G58</f>
        <v>50719488</v>
      </c>
      <c r="H132" s="597">
        <f t="shared" si="12"/>
        <v>5.0870976421753068E-2</v>
      </c>
      <c r="I132" s="556">
        <v>0.3</v>
      </c>
      <c r="J132" s="556">
        <v>0.15</v>
      </c>
      <c r="K132" s="556"/>
      <c r="L132" s="556"/>
      <c r="M132" s="546"/>
      <c r="N132" s="546"/>
      <c r="O132" s="546"/>
      <c r="P132" s="556"/>
      <c r="Q132" s="546"/>
      <c r="R132" s="546"/>
      <c r="S132" s="546"/>
      <c r="T132" s="546"/>
    </row>
    <row r="133" spans="1:20" x14ac:dyDescent="0.25">
      <c r="A133" s="546"/>
      <c r="B133" s="286"/>
      <c r="C133" s="548"/>
      <c r="D133" s="560" t="s">
        <v>289</v>
      </c>
      <c r="E133" s="286"/>
      <c r="F133" s="286"/>
      <c r="G133" s="598">
        <f>G61</f>
        <v>7550441.29</v>
      </c>
      <c r="H133" s="597">
        <f t="shared" si="12"/>
        <v>7.5729928669118433E-3</v>
      </c>
      <c r="I133" s="556">
        <v>0.3</v>
      </c>
      <c r="J133" s="556">
        <v>0.02</v>
      </c>
      <c r="K133" s="556"/>
      <c r="L133" s="556"/>
      <c r="M133" s="546"/>
      <c r="N133" s="546"/>
      <c r="O133" s="546"/>
      <c r="P133" s="556"/>
      <c r="Q133" s="546"/>
      <c r="R133" s="546"/>
      <c r="S133" s="546"/>
      <c r="T133" s="546"/>
    </row>
    <row r="134" spans="1:20" x14ac:dyDescent="0.25">
      <c r="A134" s="546"/>
      <c r="B134" s="286"/>
      <c r="C134" s="548"/>
      <c r="D134" s="560" t="s">
        <v>291</v>
      </c>
      <c r="E134" s="286"/>
      <c r="F134" s="286"/>
      <c r="G134" s="598">
        <f>G63</f>
        <v>79030212.229999989</v>
      </c>
      <c r="H134" s="597">
        <f t="shared" si="12"/>
        <v>7.9266258818670846E-2</v>
      </c>
      <c r="I134" s="556">
        <v>0.2</v>
      </c>
      <c r="J134" s="556">
        <v>0.15</v>
      </c>
      <c r="K134" s="556"/>
      <c r="L134" s="556"/>
      <c r="M134" s="546"/>
      <c r="N134" s="546"/>
      <c r="O134" s="546"/>
      <c r="P134" s="556"/>
      <c r="Q134" s="546"/>
      <c r="R134" s="546"/>
      <c r="S134" s="546"/>
      <c r="T134" s="546"/>
    </row>
    <row r="135" spans="1:20" x14ac:dyDescent="0.25">
      <c r="A135" s="546"/>
      <c r="B135" s="286"/>
      <c r="C135" s="548"/>
      <c r="D135" s="560" t="s">
        <v>292</v>
      </c>
      <c r="E135" s="286"/>
      <c r="F135" s="286"/>
      <c r="G135" s="598">
        <f>G72</f>
        <v>0</v>
      </c>
      <c r="H135" s="597">
        <f t="shared" si="12"/>
        <v>0</v>
      </c>
      <c r="I135" s="556">
        <v>0.2</v>
      </c>
      <c r="J135" s="556">
        <v>0</v>
      </c>
      <c r="K135" s="556"/>
      <c r="L135" s="556"/>
      <c r="M135" s="546"/>
      <c r="N135" s="546"/>
      <c r="O135" s="546"/>
      <c r="P135" s="556"/>
      <c r="Q135" s="546"/>
      <c r="R135" s="546"/>
      <c r="S135" s="546"/>
      <c r="T135" s="546"/>
    </row>
    <row r="136" spans="1:20" x14ac:dyDescent="0.25">
      <c r="A136" s="546"/>
      <c r="B136" s="286"/>
      <c r="C136" s="548"/>
      <c r="D136" s="560" t="s">
        <v>293</v>
      </c>
      <c r="E136" s="286"/>
      <c r="F136" s="286"/>
      <c r="G136" s="598">
        <f>G73</f>
        <v>15634337.869999999</v>
      </c>
      <c r="H136" s="597">
        <f t="shared" si="12"/>
        <v>1.5681034342351623E-2</v>
      </c>
      <c r="I136" s="556">
        <v>0.1</v>
      </c>
      <c r="J136" s="556">
        <v>0.03</v>
      </c>
      <c r="K136" s="556"/>
      <c r="L136" s="556"/>
      <c r="M136" s="546"/>
      <c r="N136" s="546"/>
      <c r="O136" s="546"/>
      <c r="P136" s="556"/>
      <c r="Q136" s="546"/>
      <c r="R136" s="546"/>
      <c r="S136" s="546"/>
      <c r="T136" s="546"/>
    </row>
    <row r="137" spans="1:20" x14ac:dyDescent="0.25">
      <c r="A137" s="546"/>
      <c r="B137" s="286"/>
      <c r="C137" s="548"/>
      <c r="D137" s="560" t="s">
        <v>294</v>
      </c>
      <c r="E137" s="286"/>
      <c r="F137" s="286"/>
      <c r="G137" s="598">
        <f>G78</f>
        <v>14281814.119999999</v>
      </c>
      <c r="H137" s="597">
        <f t="shared" si="12"/>
        <v>1.4324470888948643E-2</v>
      </c>
      <c r="I137" s="556">
        <v>0.05</v>
      </c>
      <c r="J137" s="556">
        <v>0.03</v>
      </c>
      <c r="K137" s="556"/>
      <c r="L137" s="556"/>
      <c r="M137" s="546"/>
      <c r="N137" s="546"/>
      <c r="O137" s="546"/>
      <c r="P137" s="556"/>
      <c r="Q137" s="546"/>
      <c r="R137" s="546"/>
      <c r="S137" s="546"/>
      <c r="T137" s="546"/>
    </row>
    <row r="138" spans="1:20" x14ac:dyDescent="0.25">
      <c r="A138" s="546"/>
      <c r="B138" s="286"/>
      <c r="C138" s="548"/>
      <c r="D138" s="560" t="s">
        <v>295</v>
      </c>
      <c r="E138" s="286"/>
      <c r="F138" s="286"/>
      <c r="G138" s="598">
        <f>G82</f>
        <v>14446188.68</v>
      </c>
      <c r="H138" s="597">
        <f t="shared" si="12"/>
        <v>1.4489336401118167E-2</v>
      </c>
      <c r="I138" s="556">
        <v>0.05</v>
      </c>
      <c r="J138" s="556">
        <v>0.03</v>
      </c>
      <c r="K138" s="556"/>
      <c r="L138" s="556"/>
      <c r="M138" s="546"/>
      <c r="N138" s="546"/>
      <c r="O138" s="546"/>
      <c r="P138" s="556"/>
      <c r="Q138" s="546"/>
      <c r="R138" s="546"/>
      <c r="S138" s="546"/>
      <c r="T138" s="546"/>
    </row>
    <row r="139" spans="1:20" x14ac:dyDescent="0.25">
      <c r="A139" s="546"/>
      <c r="B139" s="286"/>
      <c r="C139" s="548"/>
      <c r="D139" s="564" t="s">
        <v>159</v>
      </c>
      <c r="E139" s="565"/>
      <c r="F139" s="565"/>
      <c r="G139" s="605">
        <f>G85</f>
        <v>7402692.6200000001</v>
      </c>
      <c r="H139" s="604">
        <f t="shared" si="12"/>
        <v>7.4248029027719174E-3</v>
      </c>
      <c r="I139" s="556"/>
      <c r="J139" s="556"/>
      <c r="K139" s="556"/>
      <c r="L139" s="556"/>
      <c r="M139" s="546"/>
      <c r="N139" s="546"/>
      <c r="O139" s="546"/>
      <c r="P139" s="556"/>
      <c r="Q139" s="546"/>
      <c r="R139" s="546"/>
      <c r="S139" s="546"/>
      <c r="T139" s="546"/>
    </row>
    <row r="140" spans="1:20" x14ac:dyDescent="0.25">
      <c r="A140" s="546"/>
      <c r="B140" s="286"/>
      <c r="C140" s="548"/>
      <c r="D140" s="560"/>
      <c r="E140" s="286"/>
      <c r="F140" s="286"/>
      <c r="G140" s="598"/>
      <c r="H140" s="599"/>
      <c r="I140" s="546"/>
      <c r="J140" s="556"/>
      <c r="K140" s="556"/>
      <c r="L140" s="556"/>
      <c r="M140" s="546"/>
      <c r="N140" s="546"/>
      <c r="O140" s="546"/>
      <c r="P140" s="556"/>
      <c r="Q140" s="546"/>
      <c r="R140" s="546"/>
      <c r="S140" s="546"/>
      <c r="T140" s="546"/>
    </row>
    <row r="141" spans="1:20" x14ac:dyDescent="0.25">
      <c r="A141" s="546"/>
      <c r="B141" s="546"/>
      <c r="C141" s="546"/>
      <c r="D141" s="546"/>
      <c r="E141" s="546"/>
      <c r="F141" s="546"/>
      <c r="G141" s="598"/>
      <c r="H141" s="599"/>
      <c r="I141" s="546"/>
      <c r="J141" s="546"/>
      <c r="K141" s="546"/>
      <c r="L141" s="546"/>
      <c r="M141" s="546"/>
      <c r="N141" s="546"/>
      <c r="O141" s="546"/>
      <c r="P141" s="556"/>
      <c r="Q141" s="546"/>
      <c r="R141" s="546"/>
      <c r="S141" s="546"/>
      <c r="T141" s="546"/>
    </row>
    <row r="142" spans="1:20" x14ac:dyDescent="0.25">
      <c r="A142" s="546"/>
      <c r="B142" s="546"/>
      <c r="C142" s="546"/>
      <c r="D142" s="546"/>
      <c r="E142" s="546"/>
      <c r="F142" s="546"/>
      <c r="G142" s="598"/>
      <c r="H142" s="599"/>
      <c r="I142" s="546"/>
      <c r="J142" s="546"/>
      <c r="K142" s="546"/>
      <c r="L142" s="546"/>
      <c r="M142" s="546"/>
      <c r="N142" s="546"/>
      <c r="O142" s="546"/>
      <c r="P142" s="556"/>
      <c r="Q142" s="546"/>
      <c r="R142" s="546"/>
      <c r="S142" s="546"/>
      <c r="T142" s="546"/>
    </row>
    <row r="143" spans="1:20" x14ac:dyDescent="0.25">
      <c r="A143" s="546"/>
      <c r="B143" s="546"/>
      <c r="C143" s="546"/>
      <c r="D143" s="546" t="s">
        <v>20</v>
      </c>
      <c r="E143" s="546"/>
      <c r="F143" s="546"/>
      <c r="G143" s="606">
        <f>G5+G6+G7+G8+G9+G10+G11+G12+G13+G14</f>
        <v>166025250.58000001</v>
      </c>
      <c r="H143" s="599">
        <f t="shared" ref="H143:H166" si="13">G143/$G$89</f>
        <v>0.16652113301441107</v>
      </c>
      <c r="I143" s="546"/>
      <c r="J143" s="546"/>
      <c r="K143" s="546"/>
      <c r="L143" s="546"/>
      <c r="M143" s="546"/>
      <c r="N143" s="546"/>
      <c r="O143" s="546"/>
      <c r="P143" s="556"/>
      <c r="Q143" s="546"/>
      <c r="R143" s="546"/>
      <c r="S143" s="546"/>
      <c r="T143" s="546"/>
    </row>
    <row r="144" spans="1:20" x14ac:dyDescent="0.25">
      <c r="A144" s="546"/>
      <c r="B144" s="546"/>
      <c r="C144" s="546"/>
      <c r="D144" s="546" t="s">
        <v>257</v>
      </c>
      <c r="E144" s="546"/>
      <c r="F144" s="546"/>
      <c r="G144" s="607">
        <f>G23+G24+G25+G26+G38+G62+G70</f>
        <v>286150080.20999998</v>
      </c>
      <c r="H144" s="599">
        <f t="shared" si="13"/>
        <v>0.28700475019475075</v>
      </c>
      <c r="I144" s="546"/>
      <c r="J144" s="546"/>
      <c r="K144" s="546"/>
      <c r="L144" s="546"/>
      <c r="M144" s="546"/>
      <c r="N144" s="546"/>
      <c r="O144" s="546"/>
      <c r="P144" s="556"/>
      <c r="Q144" s="546"/>
      <c r="R144" s="546"/>
      <c r="S144" s="546"/>
      <c r="T144" s="546"/>
    </row>
    <row r="145" spans="1:20" x14ac:dyDescent="0.25">
      <c r="A145" s="546"/>
      <c r="B145" s="546"/>
      <c r="C145" s="546"/>
      <c r="D145" s="546" t="s">
        <v>258</v>
      </c>
      <c r="E145" s="546"/>
      <c r="F145" s="546"/>
      <c r="G145" s="607">
        <f>G17+G18+G19+G20+G37</f>
        <v>138358515.71000001</v>
      </c>
      <c r="H145" s="599">
        <f t="shared" si="13"/>
        <v>0.13877176343799374</v>
      </c>
      <c r="I145" s="546"/>
      <c r="J145" s="546"/>
      <c r="K145" s="546"/>
      <c r="L145" s="546"/>
      <c r="M145" s="546"/>
      <c r="N145" s="546"/>
      <c r="O145" s="546"/>
      <c r="P145" s="556"/>
      <c r="Q145" s="546"/>
      <c r="R145" s="546"/>
      <c r="S145" s="546"/>
      <c r="T145" s="546"/>
    </row>
    <row r="146" spans="1:20" x14ac:dyDescent="0.25">
      <c r="A146" s="546"/>
      <c r="B146" s="546"/>
      <c r="C146" s="546"/>
      <c r="D146" s="546" t="s">
        <v>62</v>
      </c>
      <c r="E146" s="546"/>
      <c r="F146" s="546"/>
      <c r="G146" s="607">
        <f>G44+G45+G46+G47</f>
        <v>97273090.100000009</v>
      </c>
      <c r="H146" s="599">
        <f t="shared" si="13"/>
        <v>9.7563624320264483E-2</v>
      </c>
      <c r="I146" s="546"/>
      <c r="J146" s="546"/>
      <c r="K146" s="546"/>
      <c r="L146" s="546"/>
      <c r="M146" s="546"/>
      <c r="N146" s="546"/>
      <c r="O146" s="546"/>
      <c r="P146" s="556"/>
      <c r="Q146" s="546"/>
      <c r="R146" s="546"/>
      <c r="S146" s="546"/>
      <c r="T146" s="546"/>
    </row>
    <row r="147" spans="1:20" x14ac:dyDescent="0.25">
      <c r="A147" s="546"/>
      <c r="B147" s="546"/>
      <c r="C147" s="546"/>
      <c r="D147" s="546" t="s">
        <v>259</v>
      </c>
      <c r="E147" s="546"/>
      <c r="F147" s="546"/>
      <c r="G147" s="607">
        <f>G21+G40+G41+G42+G43+G59+G64+G76+G77</f>
        <v>106684369.70000002</v>
      </c>
      <c r="H147" s="599">
        <f t="shared" si="13"/>
        <v>0.10700301342904504</v>
      </c>
      <c r="I147" s="546"/>
      <c r="J147" s="546"/>
      <c r="K147" s="546"/>
      <c r="L147" s="546"/>
      <c r="M147" s="546"/>
      <c r="N147" s="546"/>
      <c r="O147" s="546"/>
      <c r="P147" s="556"/>
      <c r="Q147" s="546"/>
      <c r="R147" s="546"/>
      <c r="S147" s="546"/>
      <c r="T147" s="546"/>
    </row>
    <row r="148" spans="1:20" x14ac:dyDescent="0.25">
      <c r="A148" s="546"/>
      <c r="B148" s="546"/>
      <c r="C148" s="546"/>
      <c r="D148" s="546" t="s">
        <v>35</v>
      </c>
      <c r="E148" s="546"/>
      <c r="F148" s="546"/>
      <c r="G148" s="607">
        <f>G16+G33+G34+G35+G36</f>
        <v>43252633.32</v>
      </c>
      <c r="H148" s="599">
        <f t="shared" si="13"/>
        <v>4.3381819820429796E-2</v>
      </c>
      <c r="I148" s="546"/>
      <c r="J148" s="546"/>
      <c r="K148" s="546"/>
      <c r="L148" s="546"/>
      <c r="M148" s="546"/>
      <c r="N148" s="546"/>
      <c r="O148" s="546"/>
      <c r="P148" s="556"/>
      <c r="Q148" s="546"/>
      <c r="R148" s="546"/>
      <c r="S148" s="546"/>
      <c r="T148" s="546"/>
    </row>
    <row r="149" spans="1:20" x14ac:dyDescent="0.25">
      <c r="A149" s="546"/>
      <c r="B149" s="546"/>
      <c r="C149" s="546"/>
      <c r="D149" s="546" t="s">
        <v>260</v>
      </c>
      <c r="E149" s="546"/>
      <c r="F149" s="546"/>
      <c r="G149" s="607">
        <f>G66+G67+G68+G69+G39</f>
        <v>50536390.699999996</v>
      </c>
      <c r="H149" s="599">
        <f t="shared" si="13"/>
        <v>5.0687332248704899E-2</v>
      </c>
      <c r="I149" s="546"/>
      <c r="J149" s="546"/>
      <c r="K149" s="546"/>
      <c r="L149" s="546"/>
      <c r="M149" s="546"/>
      <c r="N149" s="546"/>
      <c r="O149" s="546"/>
      <c r="P149" s="556"/>
      <c r="Q149" s="546"/>
      <c r="R149" s="546"/>
      <c r="S149" s="546"/>
      <c r="T149" s="546"/>
    </row>
    <row r="150" spans="1:20" x14ac:dyDescent="0.25">
      <c r="A150" s="546"/>
      <c r="B150" s="546"/>
      <c r="C150" s="546"/>
      <c r="D150" s="546" t="s">
        <v>57</v>
      </c>
      <c r="E150" s="546"/>
      <c r="F150" s="546"/>
      <c r="G150" s="607">
        <f>G27</f>
        <v>7065699.4000000004</v>
      </c>
      <c r="H150" s="599">
        <f t="shared" si="13"/>
        <v>7.086803155043577E-3</v>
      </c>
      <c r="I150" s="546"/>
      <c r="J150" s="546"/>
      <c r="K150" s="546"/>
      <c r="L150" s="546"/>
      <c r="M150" s="546"/>
      <c r="N150" s="546"/>
      <c r="O150" s="546"/>
      <c r="P150" s="556"/>
      <c r="Q150" s="546"/>
      <c r="R150" s="546"/>
      <c r="S150" s="546"/>
      <c r="T150" s="546"/>
    </row>
    <row r="151" spans="1:20" x14ac:dyDescent="0.25">
      <c r="A151" s="546"/>
      <c r="B151" s="546"/>
      <c r="C151" s="546"/>
      <c r="D151" s="546" t="s">
        <v>261</v>
      </c>
      <c r="E151" s="546"/>
      <c r="F151" s="546"/>
      <c r="G151" s="606">
        <f>G65</f>
        <v>22689739.140000001</v>
      </c>
      <c r="H151" s="599">
        <f t="shared" si="13"/>
        <v>2.2757508609051177E-2</v>
      </c>
      <c r="I151" s="546"/>
      <c r="J151" s="546"/>
      <c r="K151" s="546"/>
      <c r="L151" s="546"/>
      <c r="M151" s="546"/>
      <c r="N151" s="546"/>
      <c r="O151" s="546"/>
      <c r="P151" s="556"/>
      <c r="Q151" s="546"/>
      <c r="R151" s="546"/>
      <c r="S151" s="546"/>
      <c r="T151" s="546"/>
    </row>
    <row r="152" spans="1:20" x14ac:dyDescent="0.25">
      <c r="A152" s="546"/>
      <c r="B152" s="546"/>
      <c r="C152" s="546"/>
      <c r="D152" s="546" t="s">
        <v>97</v>
      </c>
      <c r="E152" s="546"/>
      <c r="F152" s="546"/>
      <c r="G152" s="606">
        <f>G60</f>
        <v>11637742.41</v>
      </c>
      <c r="H152" s="599">
        <f t="shared" si="13"/>
        <v>1.167250189397704E-2</v>
      </c>
      <c r="I152" s="546"/>
      <c r="J152" s="546"/>
      <c r="K152" s="546"/>
      <c r="L152" s="546"/>
      <c r="M152" s="546"/>
      <c r="N152" s="546"/>
      <c r="O152" s="546"/>
      <c r="P152" s="556"/>
      <c r="Q152" s="546"/>
      <c r="R152" s="546"/>
      <c r="S152" s="546"/>
      <c r="T152" s="546"/>
    </row>
    <row r="153" spans="1:20" x14ac:dyDescent="0.25">
      <c r="A153" s="546"/>
      <c r="B153" s="546"/>
      <c r="C153" s="546"/>
      <c r="D153" s="546" t="s">
        <v>46</v>
      </c>
      <c r="E153" s="546"/>
      <c r="F153" s="546"/>
      <c r="G153" s="606">
        <f>G22</f>
        <v>12536419.890000001</v>
      </c>
      <c r="H153" s="599">
        <f t="shared" si="13"/>
        <v>1.2573863534217583E-2</v>
      </c>
      <c r="I153" s="546"/>
      <c r="J153" s="546"/>
      <c r="K153" s="546"/>
      <c r="L153" s="546"/>
      <c r="M153" s="546"/>
      <c r="N153" s="546"/>
      <c r="O153" s="546"/>
      <c r="P153" s="556"/>
      <c r="Q153" s="546"/>
      <c r="R153" s="546"/>
      <c r="S153" s="546"/>
      <c r="T153" s="546"/>
    </row>
    <row r="154" spans="1:20" x14ac:dyDescent="0.25">
      <c r="A154" s="546"/>
      <c r="B154" s="546"/>
      <c r="C154" s="546"/>
      <c r="D154" s="546" t="s">
        <v>262</v>
      </c>
      <c r="E154" s="546"/>
      <c r="F154" s="546"/>
      <c r="G154" s="606">
        <f>G84</f>
        <v>8846188.6799999997</v>
      </c>
      <c r="H154" s="599">
        <f t="shared" si="13"/>
        <v>8.8726103812928649E-3</v>
      </c>
      <c r="I154" s="546"/>
      <c r="J154" s="546"/>
      <c r="K154" s="546"/>
      <c r="L154" s="546"/>
      <c r="M154" s="546"/>
      <c r="N154" s="546"/>
      <c r="O154" s="546"/>
      <c r="P154" s="556"/>
      <c r="Q154" s="546"/>
      <c r="R154" s="546"/>
      <c r="S154" s="546"/>
      <c r="T154" s="546"/>
    </row>
    <row r="155" spans="1:20" x14ac:dyDescent="0.25">
      <c r="A155" s="546"/>
      <c r="B155" s="546"/>
      <c r="C155" s="546"/>
      <c r="D155" s="546" t="s">
        <v>263</v>
      </c>
      <c r="E155" s="546"/>
      <c r="F155" s="546"/>
      <c r="G155" s="606">
        <f>G79</f>
        <v>13041587.75</v>
      </c>
      <c r="H155" s="599">
        <f t="shared" si="13"/>
        <v>1.3080540224153558E-2</v>
      </c>
      <c r="I155" s="546"/>
      <c r="J155" s="546"/>
      <c r="K155" s="546"/>
      <c r="L155" s="546"/>
      <c r="M155" s="546"/>
      <c r="N155" s="546"/>
      <c r="O155" s="546"/>
      <c r="P155" s="556"/>
      <c r="Q155" s="546"/>
      <c r="R155" s="546"/>
      <c r="S155" s="546"/>
      <c r="T155" s="546"/>
    </row>
    <row r="156" spans="1:20" x14ac:dyDescent="0.25">
      <c r="A156" s="546"/>
      <c r="B156" s="546"/>
      <c r="C156" s="546"/>
      <c r="D156" s="546" t="s">
        <v>82</v>
      </c>
      <c r="E156" s="546"/>
      <c r="F156" s="546"/>
      <c r="G156" s="606">
        <f>G53</f>
        <v>6930698.3399999999</v>
      </c>
      <c r="H156" s="599">
        <f t="shared" si="13"/>
        <v>6.9513988753282198E-3</v>
      </c>
      <c r="I156" s="546"/>
      <c r="J156" s="546"/>
      <c r="K156" s="546"/>
      <c r="L156" s="546"/>
      <c r="M156" s="546"/>
      <c r="N156" s="546"/>
      <c r="O156" s="546"/>
      <c r="P156" s="556"/>
      <c r="Q156" s="546"/>
      <c r="R156" s="546"/>
      <c r="S156" s="546"/>
      <c r="T156" s="546"/>
    </row>
    <row r="157" spans="1:20" x14ac:dyDescent="0.25">
      <c r="A157" s="546"/>
      <c r="B157" s="546"/>
      <c r="C157" s="546"/>
      <c r="D157" s="546" t="s">
        <v>264</v>
      </c>
      <c r="E157" s="546"/>
      <c r="F157" s="546"/>
      <c r="G157" s="606">
        <f>G83</f>
        <v>5600000</v>
      </c>
      <c r="H157" s="599">
        <f t="shared" si="13"/>
        <v>5.6167260198253027E-3</v>
      </c>
      <c r="I157" s="546"/>
      <c r="J157" s="546"/>
      <c r="K157" s="546"/>
      <c r="L157" s="546"/>
      <c r="M157" s="546"/>
      <c r="N157" s="546"/>
      <c r="O157" s="546"/>
      <c r="P157" s="556"/>
      <c r="Q157" s="546"/>
      <c r="R157" s="546"/>
      <c r="S157" s="546"/>
      <c r="T157" s="546"/>
    </row>
    <row r="158" spans="1:20" x14ac:dyDescent="0.25">
      <c r="A158" s="546"/>
      <c r="B158" s="546"/>
      <c r="C158" s="546"/>
      <c r="D158" s="546" t="s">
        <v>265</v>
      </c>
      <c r="E158" s="546"/>
      <c r="F158" s="546"/>
      <c r="G158" s="606">
        <f>G74+G75</f>
        <v>7103448.2699999996</v>
      </c>
      <c r="H158" s="599">
        <f t="shared" si="13"/>
        <v>7.1246647729628623E-3</v>
      </c>
      <c r="I158" s="546"/>
      <c r="J158" s="546"/>
      <c r="K158" s="546"/>
      <c r="L158" s="546"/>
      <c r="M158" s="546"/>
      <c r="N158" s="546"/>
      <c r="O158" s="546"/>
      <c r="P158" s="556"/>
      <c r="Q158" s="546"/>
      <c r="R158" s="546"/>
      <c r="S158" s="546"/>
      <c r="T158" s="546"/>
    </row>
    <row r="159" spans="1:20" x14ac:dyDescent="0.25">
      <c r="A159" s="546"/>
      <c r="B159" s="546"/>
      <c r="C159" s="546"/>
      <c r="D159" s="546" t="s">
        <v>266</v>
      </c>
      <c r="E159" s="546"/>
      <c r="F159" s="546"/>
      <c r="G159" s="606">
        <f>G71</f>
        <v>4528020.24</v>
      </c>
      <c r="H159" s="599">
        <f t="shared" si="13"/>
        <v>4.5415444821970737E-3</v>
      </c>
      <c r="I159" s="546"/>
      <c r="J159" s="546"/>
      <c r="K159" s="546"/>
      <c r="L159" s="546"/>
      <c r="M159" s="546"/>
      <c r="N159" s="546"/>
      <c r="O159" s="546"/>
      <c r="P159" s="556"/>
      <c r="Q159" s="546"/>
      <c r="R159" s="546"/>
      <c r="S159" s="546"/>
      <c r="T159" s="546"/>
    </row>
    <row r="160" spans="1:20" x14ac:dyDescent="0.25">
      <c r="A160" s="546"/>
      <c r="B160" s="546"/>
      <c r="C160" s="546"/>
      <c r="D160" s="546" t="s">
        <v>267</v>
      </c>
      <c r="E160" s="546"/>
      <c r="F160" s="546"/>
      <c r="G160" s="607">
        <f>G81</f>
        <v>775666.17</v>
      </c>
      <c r="H160" s="599">
        <f t="shared" si="13"/>
        <v>7.7798292138164945E-4</v>
      </c>
      <c r="I160" s="546"/>
      <c r="J160" s="546"/>
      <c r="K160" s="546"/>
      <c r="L160" s="546"/>
      <c r="M160" s="546"/>
      <c r="N160" s="546"/>
      <c r="O160" s="546"/>
      <c r="P160" s="556"/>
      <c r="Q160" s="546"/>
      <c r="R160" s="546"/>
      <c r="S160" s="546"/>
      <c r="T160" s="546"/>
    </row>
    <row r="161" spans="1:20" x14ac:dyDescent="0.25">
      <c r="A161" s="546"/>
      <c r="B161" s="546"/>
      <c r="C161" s="546"/>
      <c r="D161" s="546" t="s">
        <v>268</v>
      </c>
      <c r="E161" s="546"/>
      <c r="F161" s="546"/>
      <c r="G161" s="607">
        <f>G80</f>
        <v>464560.2</v>
      </c>
      <c r="H161" s="599">
        <f t="shared" si="13"/>
        <v>4.6594774341343691E-4</v>
      </c>
      <c r="I161" s="546"/>
      <c r="J161" s="546"/>
      <c r="K161" s="546"/>
      <c r="L161" s="546"/>
      <c r="M161" s="546"/>
      <c r="N161" s="546"/>
      <c r="O161" s="546"/>
      <c r="P161" s="556"/>
      <c r="Q161" s="546"/>
      <c r="R161" s="546"/>
      <c r="S161" s="546"/>
      <c r="T161" s="546"/>
    </row>
    <row r="162" spans="1:20" x14ac:dyDescent="0.25">
      <c r="A162" s="546"/>
      <c r="B162" s="546"/>
      <c r="C162" s="546"/>
      <c r="D162" s="546" t="s">
        <v>269</v>
      </c>
      <c r="E162" s="546"/>
      <c r="F162" s="546"/>
      <c r="G162" s="607">
        <f>G55</f>
        <v>76496.73</v>
      </c>
      <c r="H162" s="599">
        <f t="shared" si="13"/>
        <v>7.6725209611169792E-5</v>
      </c>
      <c r="I162" s="546"/>
      <c r="J162" s="546"/>
      <c r="K162" s="546"/>
      <c r="L162" s="546"/>
      <c r="M162" s="546"/>
      <c r="N162" s="546"/>
      <c r="O162" s="546"/>
      <c r="P162" s="556"/>
      <c r="Q162" s="546"/>
      <c r="R162" s="546"/>
      <c r="S162" s="546"/>
      <c r="T162" s="546"/>
    </row>
    <row r="163" spans="1:20" x14ac:dyDescent="0.25">
      <c r="A163" s="546"/>
      <c r="B163" s="546"/>
      <c r="C163" s="546"/>
      <c r="D163" s="546" t="s">
        <v>86</v>
      </c>
      <c r="E163" s="546"/>
      <c r="F163" s="546"/>
      <c r="G163" s="607">
        <f>G54</f>
        <v>42814.93</v>
      </c>
      <c r="H163" s="599">
        <f t="shared" si="13"/>
        <v>4.2942809172856957E-5</v>
      </c>
      <c r="I163" s="546"/>
      <c r="J163" s="546"/>
      <c r="K163" s="546"/>
      <c r="L163" s="546"/>
      <c r="M163" s="546"/>
      <c r="N163" s="546"/>
      <c r="O163" s="546"/>
      <c r="P163" s="556"/>
      <c r="Q163" s="546"/>
      <c r="R163" s="546"/>
      <c r="S163" s="546"/>
      <c r="T163" s="546"/>
    </row>
    <row r="164" spans="1:20" x14ac:dyDescent="0.25">
      <c r="A164" s="546"/>
      <c r="B164" s="546"/>
      <c r="C164" s="546"/>
      <c r="D164" s="546"/>
      <c r="E164" s="546"/>
      <c r="F164" s="546"/>
      <c r="G164" s="607"/>
      <c r="H164" s="599">
        <f t="shared" si="13"/>
        <v>0</v>
      </c>
      <c r="I164" s="546"/>
      <c r="J164" s="546"/>
      <c r="K164" s="546"/>
      <c r="L164" s="546"/>
      <c r="M164" s="546"/>
      <c r="N164" s="546"/>
      <c r="O164" s="546"/>
      <c r="P164" s="556"/>
      <c r="Q164" s="546"/>
      <c r="R164" s="546"/>
      <c r="S164" s="546"/>
      <c r="T164" s="546"/>
    </row>
    <row r="165" spans="1:20" x14ac:dyDescent="0.25">
      <c r="A165" s="546"/>
      <c r="B165" s="546"/>
      <c r="C165" s="546"/>
      <c r="D165" s="546"/>
      <c r="E165" s="546"/>
      <c r="F165" s="546"/>
      <c r="G165" s="595"/>
      <c r="H165" s="599">
        <f t="shared" si="13"/>
        <v>0</v>
      </c>
      <c r="I165" s="546"/>
      <c r="J165" s="546"/>
      <c r="K165" s="546"/>
      <c r="L165" s="546"/>
      <c r="M165" s="546"/>
      <c r="N165" s="546"/>
      <c r="O165" s="546"/>
      <c r="P165" s="556"/>
      <c r="Q165" s="546"/>
      <c r="R165" s="546"/>
      <c r="S165" s="546"/>
      <c r="T165" s="546"/>
    </row>
    <row r="166" spans="1:20" x14ac:dyDescent="0.25">
      <c r="A166" s="546"/>
      <c r="B166" s="546"/>
      <c r="C166" s="546"/>
      <c r="D166" s="546" t="s">
        <v>270</v>
      </c>
      <c r="E166" s="546"/>
      <c r="F166" s="546"/>
      <c r="G166" s="606">
        <f>G85</f>
        <v>7402692.6200000001</v>
      </c>
      <c r="H166" s="599">
        <f t="shared" si="13"/>
        <v>7.4248029027719183E-3</v>
      </c>
      <c r="I166" s="546"/>
      <c r="J166" s="546"/>
      <c r="K166" s="546"/>
      <c r="L166" s="546"/>
      <c r="M166" s="546"/>
      <c r="N166" s="546"/>
      <c r="O166" s="546"/>
      <c r="P166" s="556"/>
      <c r="Q166" s="546"/>
      <c r="R166" s="546"/>
      <c r="S166" s="546"/>
      <c r="T166" s="546"/>
    </row>
    <row r="167" spans="1:20" ht="15.75" thickBot="1" x14ac:dyDescent="0.3">
      <c r="A167" s="546"/>
      <c r="B167" s="546"/>
      <c r="C167" s="546"/>
      <c r="D167" s="546"/>
      <c r="E167" s="546"/>
      <c r="F167" s="546"/>
      <c r="G167" s="595"/>
      <c r="H167" s="599"/>
      <c r="I167" s="546"/>
      <c r="J167" s="546"/>
      <c r="K167" s="546"/>
      <c r="L167" s="546"/>
      <c r="M167" s="546"/>
      <c r="N167" s="546"/>
      <c r="O167" s="546"/>
      <c r="P167" s="556"/>
      <c r="Q167" s="546"/>
      <c r="R167" s="546"/>
      <c r="S167" s="546"/>
      <c r="T167" s="546"/>
    </row>
    <row r="168" spans="1:20" ht="15.75" thickBot="1" x14ac:dyDescent="0.3">
      <c r="A168" s="546"/>
      <c r="B168" s="546"/>
      <c r="C168" s="546"/>
      <c r="D168" s="546"/>
      <c r="E168" s="562"/>
      <c r="F168" s="546"/>
      <c r="G168" s="608">
        <f>SUM(G143:G167)</f>
        <v>997022105.09000003</v>
      </c>
      <c r="H168" s="599">
        <f>SUM(H143:H167)</f>
        <v>1.0000000000000002</v>
      </c>
      <c r="I168" s="546"/>
      <c r="J168" s="546"/>
      <c r="K168" s="546"/>
      <c r="L168" s="546"/>
      <c r="M168" s="546"/>
      <c r="N168" s="546"/>
      <c r="O168" s="546"/>
      <c r="P168" s="556"/>
      <c r="Q168" s="546"/>
      <c r="R168" s="546"/>
      <c r="S168" s="546"/>
      <c r="T168" s="546"/>
    </row>
    <row r="169" spans="1:20" x14ac:dyDescent="0.25">
      <c r="A169" s="546"/>
      <c r="B169" s="546"/>
      <c r="C169" s="546"/>
      <c r="D169" s="546"/>
      <c r="E169" s="546"/>
      <c r="F169" s="546"/>
      <c r="G169" s="598"/>
      <c r="H169" s="599"/>
      <c r="I169" s="546"/>
      <c r="J169" s="546"/>
      <c r="K169" s="546"/>
      <c r="L169" s="546"/>
      <c r="M169" s="546"/>
      <c r="N169" s="546"/>
      <c r="O169" s="546"/>
      <c r="P169" s="556"/>
      <c r="Q169" s="546"/>
      <c r="R169" s="546"/>
      <c r="S169" s="546"/>
      <c r="T169" s="546"/>
    </row>
    <row r="170" spans="1:20" x14ac:dyDescent="0.25">
      <c r="A170" s="546"/>
      <c r="B170" s="546"/>
      <c r="C170" s="546"/>
      <c r="D170" s="546" t="s">
        <v>271</v>
      </c>
      <c r="E170" s="556">
        <f>G170/G102</f>
        <v>0.20548774861360922</v>
      </c>
      <c r="F170" s="546"/>
      <c r="G170" s="554">
        <f>G5+G6+G7+G8+G9+G10+G11+G12+G13+G14</f>
        <v>166025250.58000001</v>
      </c>
      <c r="H170" s="556">
        <f>G170/G178</f>
        <v>0.20548774861360922</v>
      </c>
      <c r="I170" s="546"/>
      <c r="J170" s="546"/>
      <c r="K170" s="546"/>
      <c r="L170" s="546"/>
      <c r="M170" s="546"/>
      <c r="N170" s="546"/>
      <c r="O170" s="546"/>
      <c r="P170" s="556"/>
      <c r="Q170" s="546"/>
      <c r="R170" s="546"/>
      <c r="S170" s="546"/>
      <c r="T170" s="546"/>
    </row>
    <row r="171" spans="1:20" x14ac:dyDescent="0.25">
      <c r="A171" s="546"/>
      <c r="B171" s="546"/>
      <c r="C171" s="546"/>
      <c r="D171" s="546" t="s">
        <v>141</v>
      </c>
      <c r="E171" s="556">
        <f>G171/G102</f>
        <v>0.17451626458743966</v>
      </c>
      <c r="F171" s="546"/>
      <c r="G171" s="554">
        <f>G22+G37+G38+G46+G27</f>
        <v>141001625.42000002</v>
      </c>
      <c r="H171" s="556">
        <f>G171/G178</f>
        <v>0.17451626458743966</v>
      </c>
      <c r="I171" s="546"/>
      <c r="J171" s="546"/>
      <c r="K171" s="546"/>
      <c r="L171" s="546"/>
      <c r="M171" s="546"/>
      <c r="N171" s="546"/>
      <c r="O171" s="546"/>
      <c r="P171" s="556"/>
      <c r="Q171" s="546"/>
      <c r="R171" s="546"/>
      <c r="S171" s="546"/>
      <c r="T171" s="546"/>
    </row>
    <row r="172" spans="1:20" x14ac:dyDescent="0.25">
      <c r="A172" s="546"/>
      <c r="B172" s="546"/>
      <c r="C172" s="546"/>
      <c r="D172" s="546" t="s">
        <v>272</v>
      </c>
      <c r="E172" s="556">
        <f>G172/G102</f>
        <v>0.26579409941514787</v>
      </c>
      <c r="F172" s="546"/>
      <c r="G172" s="554">
        <f>G16+G19+G20+G21+G23+G26+G44+G45</f>
        <v>214750184.65000001</v>
      </c>
      <c r="H172" s="556">
        <f>G172/G178</f>
        <v>0.26579409941514787</v>
      </c>
      <c r="I172" s="546"/>
      <c r="J172" s="546"/>
      <c r="K172" s="546"/>
      <c r="L172" s="546"/>
      <c r="M172" s="546"/>
      <c r="N172" s="546"/>
      <c r="O172" s="546"/>
      <c r="P172" s="556"/>
      <c r="Q172" s="546"/>
      <c r="R172" s="546"/>
      <c r="S172" s="546"/>
      <c r="T172" s="546"/>
    </row>
    <row r="173" spans="1:20" x14ac:dyDescent="0.25">
      <c r="A173" s="546"/>
      <c r="B173" s="546"/>
      <c r="C173" s="546"/>
      <c r="D173" s="546" t="s">
        <v>273</v>
      </c>
      <c r="E173" s="556">
        <f>G173/G102</f>
        <v>4.3004881148749639E-2</v>
      </c>
      <c r="F173" s="546"/>
      <c r="G173" s="554">
        <f>G40+G41</f>
        <v>34746091.759999998</v>
      </c>
      <c r="H173" s="556">
        <f>G173/G178</f>
        <v>4.3004881148749639E-2</v>
      </c>
      <c r="I173" s="546"/>
      <c r="J173" s="546"/>
      <c r="K173" s="546"/>
      <c r="L173" s="546"/>
      <c r="M173" s="546"/>
      <c r="N173" s="546"/>
      <c r="O173" s="546"/>
      <c r="P173" s="556"/>
      <c r="Q173" s="546"/>
      <c r="R173" s="546"/>
      <c r="S173" s="546"/>
      <c r="T173" s="546"/>
    </row>
    <row r="174" spans="1:20" x14ac:dyDescent="0.25">
      <c r="A174" s="546"/>
      <c r="B174" s="546"/>
      <c r="C174" s="546"/>
      <c r="D174" s="546" t="s">
        <v>138</v>
      </c>
      <c r="E174" s="556">
        <f>G174/G102</f>
        <v>0.25083267239228563</v>
      </c>
      <c r="F174" s="546"/>
      <c r="G174" s="554">
        <f>G17+G18+G24+G25</f>
        <v>202661996</v>
      </c>
      <c r="H174" s="556">
        <f>G174/G178</f>
        <v>0.25083267239228563</v>
      </c>
      <c r="I174" s="546"/>
      <c r="J174" s="546"/>
      <c r="K174" s="546"/>
      <c r="L174" s="546"/>
      <c r="M174" s="546"/>
      <c r="N174" s="546"/>
      <c r="O174" s="546"/>
      <c r="P174" s="556"/>
      <c r="Q174" s="546"/>
      <c r="R174" s="546"/>
      <c r="S174" s="546"/>
      <c r="T174" s="546"/>
    </row>
    <row r="175" spans="1:20" x14ac:dyDescent="0.25">
      <c r="A175" s="546"/>
      <c r="B175" s="546"/>
      <c r="C175" s="546"/>
      <c r="D175" s="546" t="s">
        <v>274</v>
      </c>
      <c r="E175" s="556">
        <f>G175/G102</f>
        <v>5.1638608824781287E-2</v>
      </c>
      <c r="F175" s="546"/>
      <c r="G175" s="554">
        <f>G33+G34+G35+G36+G39+G42+G43+G47</f>
        <v>41721771.870000005</v>
      </c>
      <c r="H175" s="556">
        <f>G175/G178</f>
        <v>5.1638608824781287E-2</v>
      </c>
      <c r="I175" s="546"/>
      <c r="J175" s="546"/>
      <c r="K175" s="546"/>
      <c r="L175" s="546"/>
      <c r="M175" s="546"/>
      <c r="N175" s="546"/>
      <c r="O175" s="546"/>
      <c r="P175" s="556"/>
      <c r="Q175" s="546"/>
      <c r="R175" s="546"/>
      <c r="S175" s="546"/>
      <c r="T175" s="546"/>
    </row>
    <row r="176" spans="1:20" x14ac:dyDescent="0.25">
      <c r="A176" s="546"/>
      <c r="B176" s="546"/>
      <c r="C176" s="546"/>
      <c r="D176" s="546" t="s">
        <v>316</v>
      </c>
      <c r="E176" s="556">
        <f>G176/G103</f>
        <v>3.8808288398407026E-2</v>
      </c>
      <c r="F176" s="546"/>
      <c r="G176" s="554">
        <f>G53+G54+G55</f>
        <v>7050010</v>
      </c>
      <c r="H176" s="556">
        <f>G176/G178</f>
        <v>8.7257250179867841E-3</v>
      </c>
      <c r="I176" s="546"/>
      <c r="J176" s="546"/>
      <c r="K176" s="546"/>
      <c r="L176" s="546"/>
      <c r="M176" s="546"/>
      <c r="N176" s="546"/>
      <c r="O176" s="546"/>
      <c r="P176" s="556"/>
      <c r="Q176" s="546"/>
      <c r="R176" s="546"/>
      <c r="S176" s="546"/>
      <c r="T176" s="546"/>
    </row>
    <row r="177" spans="1:20" x14ac:dyDescent="0.25">
      <c r="A177" s="546"/>
      <c r="B177" s="546"/>
      <c r="C177" s="546"/>
      <c r="D177" s="546"/>
      <c r="E177" s="556"/>
      <c r="F177" s="546"/>
      <c r="G177" s="554"/>
      <c r="H177" s="556"/>
      <c r="I177" s="546"/>
      <c r="J177" s="546"/>
      <c r="K177" s="546"/>
      <c r="L177" s="546"/>
      <c r="M177" s="546"/>
      <c r="N177" s="546"/>
      <c r="O177" s="546"/>
      <c r="P177" s="556"/>
      <c r="Q177" s="546"/>
      <c r="R177" s="546"/>
      <c r="S177" s="546"/>
      <c r="T177" s="546"/>
    </row>
    <row r="178" spans="1:20" x14ac:dyDescent="0.25">
      <c r="A178" s="546"/>
      <c r="B178" s="546"/>
      <c r="C178" s="546"/>
      <c r="D178" s="546"/>
      <c r="E178" s="556">
        <f>E170+E171+E172+E173+E174+E175</f>
        <v>0.99127427498201337</v>
      </c>
      <c r="F178" s="546"/>
      <c r="G178" s="554">
        <f>SUM(G170:G177)</f>
        <v>807956930.27999997</v>
      </c>
      <c r="H178" s="556">
        <f>SUM(H170:H177)</f>
        <v>1.0000000000000002</v>
      </c>
      <c r="I178" s="563">
        <f>G178/G168</f>
        <v>0.81037012735747382</v>
      </c>
      <c r="J178" s="546"/>
      <c r="K178" s="546"/>
      <c r="L178" s="546"/>
      <c r="M178" s="546"/>
      <c r="N178" s="546"/>
      <c r="O178" s="546"/>
      <c r="P178" s="556"/>
      <c r="Q178" s="546"/>
      <c r="R178" s="546"/>
      <c r="S178" s="546"/>
      <c r="T178" s="546"/>
    </row>
    <row r="179" spans="1:20" x14ac:dyDescent="0.25">
      <c r="A179" s="546"/>
      <c r="B179" s="546"/>
      <c r="C179" s="546"/>
      <c r="D179" s="546"/>
      <c r="E179" s="546"/>
      <c r="F179" s="546"/>
      <c r="G179" s="554"/>
      <c r="H179" s="556"/>
      <c r="I179" s="546"/>
      <c r="J179" s="546"/>
      <c r="K179" s="546"/>
      <c r="L179" s="546"/>
      <c r="M179" s="546"/>
      <c r="N179" s="546"/>
      <c r="O179" s="546"/>
      <c r="P179" s="556"/>
      <c r="Q179" s="546"/>
      <c r="R179" s="546"/>
      <c r="S179" s="546"/>
      <c r="T179" s="546"/>
    </row>
    <row r="180" spans="1:20" x14ac:dyDescent="0.25">
      <c r="A180" s="546"/>
      <c r="B180" s="546"/>
      <c r="C180" s="546"/>
      <c r="D180" s="546"/>
      <c r="E180" s="546"/>
      <c r="F180" s="546"/>
      <c r="G180" s="554"/>
      <c r="H180" s="556"/>
      <c r="I180" s="546"/>
      <c r="J180" s="546"/>
      <c r="K180" s="546"/>
      <c r="L180" s="546"/>
      <c r="M180" s="546"/>
      <c r="N180" s="546"/>
      <c r="O180" s="546"/>
      <c r="P180" s="556"/>
      <c r="Q180" s="546"/>
      <c r="R180" s="546"/>
      <c r="S180" s="546"/>
      <c r="T180" s="546"/>
    </row>
    <row r="181" spans="1:20" x14ac:dyDescent="0.25">
      <c r="A181" s="546"/>
      <c r="B181" s="546"/>
      <c r="C181" s="546"/>
      <c r="D181" s="546"/>
      <c r="E181" s="546"/>
      <c r="F181" s="546"/>
      <c r="G181" s="554"/>
      <c r="H181" s="556"/>
      <c r="I181" s="546"/>
      <c r="J181" s="546"/>
      <c r="K181" s="546"/>
      <c r="L181" s="546"/>
      <c r="M181" s="546"/>
      <c r="N181" s="546"/>
      <c r="O181" s="546"/>
      <c r="P181" s="556"/>
      <c r="Q181" s="546"/>
      <c r="R181" s="546"/>
      <c r="S181" s="546"/>
    </row>
  </sheetData>
  <mergeCells count="48">
    <mergeCell ref="R83:R84"/>
    <mergeCell ref="S83:S84"/>
    <mergeCell ref="R79:R81"/>
    <mergeCell ref="S79:S81"/>
    <mergeCell ref="O74:O77"/>
    <mergeCell ref="P74:P77"/>
    <mergeCell ref="Q74:Q77"/>
    <mergeCell ref="R74:R77"/>
    <mergeCell ref="S74:S77"/>
    <mergeCell ref="O86:O87"/>
    <mergeCell ref="O79:O81"/>
    <mergeCell ref="P79:P81"/>
    <mergeCell ref="Q79:Q81"/>
    <mergeCell ref="P86:P88"/>
    <mergeCell ref="O83:O84"/>
    <mergeCell ref="P83:P84"/>
    <mergeCell ref="Q83:Q84"/>
    <mergeCell ref="O59:O60"/>
    <mergeCell ref="P59:P60"/>
    <mergeCell ref="Q59:Q60"/>
    <mergeCell ref="R59:R60"/>
    <mergeCell ref="S59:S60"/>
    <mergeCell ref="O64:O71"/>
    <mergeCell ref="P64:P71"/>
    <mergeCell ref="Q64:Q71"/>
    <mergeCell ref="R64:R71"/>
    <mergeCell ref="S64:S71"/>
    <mergeCell ref="O33:O47"/>
    <mergeCell ref="P33:P47"/>
    <mergeCell ref="Q33:Q47"/>
    <mergeCell ref="R33:R47"/>
    <mergeCell ref="S33:S47"/>
    <mergeCell ref="P53:P55"/>
    <mergeCell ref="O53:O55"/>
    <mergeCell ref="Q53:Q55"/>
    <mergeCell ref="R53:R55"/>
    <mergeCell ref="S53:S55"/>
    <mergeCell ref="O16:O27"/>
    <mergeCell ref="P16:P27"/>
    <mergeCell ref="Q16:Q27"/>
    <mergeCell ref="R16:R27"/>
    <mergeCell ref="S16:S27"/>
    <mergeCell ref="S5:S14"/>
    <mergeCell ref="P3:R3"/>
    <mergeCell ref="O5:O14"/>
    <mergeCell ref="P5:P14"/>
    <mergeCell ref="Q5:Q14"/>
    <mergeCell ref="R5:R14"/>
  </mergeCells>
  <printOptions horizontalCentered="1"/>
  <pageMargins left="0" right="0" top="0" bottom="0" header="0.19685039370078741" footer="0.39370078740157483"/>
  <pageSetup paperSize="9" scale="4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82"/>
  <sheetViews>
    <sheetView topLeftCell="A136" zoomScaleNormal="100" workbookViewId="0">
      <selection activeCell="G150" sqref="G150"/>
    </sheetView>
  </sheetViews>
  <sheetFormatPr defaultRowHeight="15" x14ac:dyDescent="0.25"/>
  <cols>
    <col min="1" max="1" width="5" customWidth="1"/>
    <col min="2" max="2" width="30.140625" customWidth="1"/>
    <col min="3" max="3" width="0.28515625" customWidth="1"/>
    <col min="4" max="4" width="38.28515625" customWidth="1"/>
    <col min="5" max="5" width="7.7109375" bestFit="1" customWidth="1"/>
    <col min="6" max="6" width="6.28515625" customWidth="1"/>
    <col min="7" max="7" width="25.140625" style="1" bestFit="1" customWidth="1"/>
    <col min="8" max="8" width="11.5703125" style="291" customWidth="1"/>
    <col min="9" max="9" width="10.85546875" style="1" customWidth="1"/>
    <col min="10" max="10" width="7.5703125" style="1" customWidth="1"/>
    <col min="11" max="11" width="7.7109375" style="1" customWidth="1"/>
    <col min="12" max="12" width="9.140625" style="1" customWidth="1"/>
    <col min="13" max="13" width="14" style="294" bestFit="1" customWidth="1"/>
    <col min="14" max="14" width="8.140625" style="300" bestFit="1" customWidth="1"/>
    <col min="15" max="15" width="13.5703125" customWidth="1"/>
    <col min="16" max="16" width="6.85546875" customWidth="1"/>
    <col min="17" max="17" width="5.5703125" customWidth="1"/>
    <col min="18" max="18" width="5.85546875" customWidth="1"/>
    <col min="19" max="19" width="23.7109375" bestFit="1" customWidth="1"/>
    <col min="20" max="24" width="14.42578125" style="7" customWidth="1"/>
    <col min="25" max="25" width="14.42578125" customWidth="1"/>
  </cols>
  <sheetData>
    <row r="1" spans="1:25" ht="16.5" customHeight="1" thickBot="1" x14ac:dyDescent="0.3">
      <c r="A1" s="1"/>
      <c r="B1" s="2" t="s">
        <v>319</v>
      </c>
      <c r="C1" s="3"/>
      <c r="D1" s="3"/>
      <c r="E1" s="3"/>
      <c r="F1" s="3"/>
      <c r="G1" s="3"/>
      <c r="H1" s="4"/>
      <c r="I1" s="3"/>
      <c r="J1" s="3"/>
      <c r="K1" s="3"/>
      <c r="L1" s="3"/>
      <c r="M1" s="5"/>
      <c r="N1" s="4"/>
      <c r="O1" s="3"/>
      <c r="P1" s="3"/>
      <c r="Q1" s="3"/>
      <c r="R1" s="3"/>
      <c r="S1" s="6"/>
    </row>
    <row r="2" spans="1:25" ht="15.75" customHeight="1" thickBot="1" x14ac:dyDescent="0.3">
      <c r="A2" s="8"/>
      <c r="B2" s="9" t="s">
        <v>0</v>
      </c>
      <c r="C2" s="10" t="s">
        <v>1</v>
      </c>
      <c r="D2" s="10" t="s">
        <v>2</v>
      </c>
      <c r="E2" s="11" t="s">
        <v>3</v>
      </c>
      <c r="F2" s="12" t="s">
        <v>3</v>
      </c>
      <c r="G2" s="13" t="s">
        <v>4</v>
      </c>
      <c r="H2" s="14"/>
      <c r="I2" s="15" t="s">
        <v>5</v>
      </c>
      <c r="J2" s="16"/>
      <c r="K2" s="16"/>
      <c r="L2" s="17"/>
      <c r="M2" s="18" t="s">
        <v>6</v>
      </c>
      <c r="N2" s="14"/>
      <c r="O2" s="19" t="s">
        <v>7</v>
      </c>
      <c r="P2" s="20" t="s">
        <v>8</v>
      </c>
      <c r="Q2" s="21"/>
      <c r="R2" s="22"/>
      <c r="S2" s="23" t="s">
        <v>9</v>
      </c>
      <c r="T2" s="7" t="s">
        <v>10</v>
      </c>
    </row>
    <row r="3" spans="1:25" ht="15.75" thickBot="1" x14ac:dyDescent="0.3">
      <c r="A3" s="8"/>
      <c r="B3" s="24"/>
      <c r="C3" s="25"/>
      <c r="D3" s="26"/>
      <c r="E3" s="27"/>
      <c r="F3" s="28"/>
      <c r="G3" s="29" t="s">
        <v>11</v>
      </c>
      <c r="H3" s="30" t="s">
        <v>12</v>
      </c>
      <c r="I3" s="31" t="s">
        <v>13</v>
      </c>
      <c r="J3" s="32" t="s">
        <v>14</v>
      </c>
      <c r="K3" s="33" t="s">
        <v>15</v>
      </c>
      <c r="L3" s="34"/>
      <c r="M3" s="35" t="s">
        <v>16</v>
      </c>
      <c r="N3" s="36" t="s">
        <v>17</v>
      </c>
      <c r="O3" s="37"/>
      <c r="P3" s="766" t="s">
        <v>18</v>
      </c>
      <c r="Q3" s="767"/>
      <c r="R3" s="768"/>
      <c r="S3" s="38" t="s">
        <v>19</v>
      </c>
      <c r="T3" s="39"/>
      <c r="U3" s="39"/>
      <c r="V3" s="39"/>
      <c r="W3" s="39"/>
      <c r="X3" s="39"/>
      <c r="Y3" s="39"/>
    </row>
    <row r="4" spans="1:25" s="53" customFormat="1" ht="12" customHeight="1" thickBot="1" x14ac:dyDescent="0.25">
      <c r="A4" s="40"/>
      <c r="B4" s="334" t="s">
        <v>163</v>
      </c>
      <c r="C4" s="335"/>
      <c r="D4" s="336"/>
      <c r="E4" s="336"/>
      <c r="F4" s="336"/>
      <c r="G4" s="582">
        <f>SUM(G5:G14)</f>
        <v>166236628.22999999</v>
      </c>
      <c r="H4" s="43">
        <f t="shared" ref="H4:H19" si="0">G4/$G$91</f>
        <v>0.16232124449963142</v>
      </c>
      <c r="I4" s="44"/>
      <c r="J4" s="44"/>
      <c r="K4" s="44"/>
      <c r="L4" s="44"/>
      <c r="M4" s="45"/>
      <c r="N4" s="46"/>
      <c r="O4" s="47"/>
      <c r="P4" s="48"/>
      <c r="Q4" s="49"/>
      <c r="R4" s="618"/>
      <c r="S4" s="51"/>
      <c r="T4" s="52"/>
      <c r="U4" s="52"/>
      <c r="V4" s="52"/>
      <c r="W4" s="52"/>
      <c r="X4" s="52"/>
      <c r="Y4" s="52"/>
    </row>
    <row r="5" spans="1:25" s="1" customFormat="1" ht="16.5" customHeight="1" x14ac:dyDescent="0.25">
      <c r="A5" s="8">
        <v>1</v>
      </c>
      <c r="B5" s="54" t="s">
        <v>21</v>
      </c>
      <c r="C5" s="55" t="s">
        <v>22</v>
      </c>
      <c r="D5" s="56" t="s">
        <v>23</v>
      </c>
      <c r="E5" s="57"/>
      <c r="F5" s="57"/>
      <c r="G5" s="384">
        <f>'[1]FFIN2 Fevereiro 2018'!$G$5</f>
        <v>25841931.02</v>
      </c>
      <c r="H5" s="58">
        <f t="shared" si="0"/>
        <v>2.5233274087082525E-2</v>
      </c>
      <c r="I5" s="363">
        <f>'[1]FFIN2 Fevereiro 2018'!$I$5</f>
        <v>3.5999999999999999E-3</v>
      </c>
      <c r="J5" s="59" t="s">
        <v>24</v>
      </c>
      <c r="K5" s="59"/>
      <c r="L5" s="60"/>
      <c r="M5" s="61">
        <v>0</v>
      </c>
      <c r="N5" s="62"/>
      <c r="O5" s="769" t="s">
        <v>20</v>
      </c>
      <c r="P5" s="772">
        <f>SUM(G5:G14)/G91</f>
        <v>0.16232124449963142</v>
      </c>
      <c r="Q5" s="775">
        <v>1</v>
      </c>
      <c r="R5" s="778">
        <v>0.4</v>
      </c>
      <c r="S5" s="763" t="s">
        <v>169</v>
      </c>
      <c r="T5" s="63"/>
      <c r="U5" s="64"/>
      <c r="V5" s="63"/>
      <c r="W5" s="63"/>
      <c r="X5" s="63"/>
      <c r="Y5" s="65"/>
    </row>
    <row r="6" spans="1:25" s="1" customFormat="1" ht="18.75" thickBot="1" x14ac:dyDescent="0.3">
      <c r="A6" s="8">
        <v>2</v>
      </c>
      <c r="B6" s="66" t="s">
        <v>21</v>
      </c>
      <c r="C6" s="67" t="s">
        <v>22</v>
      </c>
      <c r="D6" s="68" t="s">
        <v>25</v>
      </c>
      <c r="E6" s="68"/>
      <c r="F6" s="69"/>
      <c r="G6" s="384">
        <f>'[1]FFIN2 Fevereiro 2018'!$G$6</f>
        <v>11350989.08</v>
      </c>
      <c r="H6" s="58">
        <f t="shared" si="0"/>
        <v>1.1083638385747874E-2</v>
      </c>
      <c r="I6" s="358">
        <f>'[1]FFIN2 Fevereiro 2018'!$I$6</f>
        <v>7.9000000000000008E-3</v>
      </c>
      <c r="J6" s="72" t="s">
        <v>26</v>
      </c>
      <c r="K6" s="73"/>
      <c r="L6" s="74"/>
      <c r="M6" s="75"/>
      <c r="N6" s="76"/>
      <c r="O6" s="770"/>
      <c r="P6" s="773"/>
      <c r="Q6" s="776"/>
      <c r="R6" s="779"/>
      <c r="S6" s="764"/>
      <c r="T6" s="63"/>
      <c r="U6" s="64"/>
      <c r="V6" s="63"/>
      <c r="W6" s="63"/>
      <c r="X6" s="63"/>
      <c r="Y6" s="65"/>
    </row>
    <row r="7" spans="1:25" s="1" customFormat="1" ht="18" x14ac:dyDescent="0.25">
      <c r="A7" s="8">
        <v>3</v>
      </c>
      <c r="B7" s="54" t="s">
        <v>21</v>
      </c>
      <c r="C7" s="55" t="s">
        <v>22</v>
      </c>
      <c r="D7" s="56" t="s">
        <v>27</v>
      </c>
      <c r="E7" s="77"/>
      <c r="F7" s="68"/>
      <c r="G7" s="362">
        <f>'[1]FFIN2 Fevereiro 2018'!$G$7</f>
        <v>25139493.309999999</v>
      </c>
      <c r="H7" s="58">
        <f t="shared" si="0"/>
        <v>2.4547380944971171E-2</v>
      </c>
      <c r="I7" s="358">
        <f>'[1]FFIN2 Fevereiro 2018'!$I$7</f>
        <v>5.7999999999999996E-3</v>
      </c>
      <c r="J7" s="59" t="s">
        <v>28</v>
      </c>
      <c r="K7" s="79"/>
      <c r="L7" s="80">
        <f>'[1]FFIN2 Fevereiro 2018'!$L$7</f>
        <v>0.27250000000000002</v>
      </c>
      <c r="M7" s="81"/>
      <c r="N7" s="82"/>
      <c r="O7" s="770"/>
      <c r="P7" s="773"/>
      <c r="Q7" s="776"/>
      <c r="R7" s="779"/>
      <c r="S7" s="764"/>
      <c r="T7" s="63"/>
      <c r="U7" s="64"/>
      <c r="V7" s="63"/>
      <c r="W7" s="63"/>
      <c r="X7" s="63"/>
      <c r="Y7" s="65"/>
    </row>
    <row r="8" spans="1:25" s="1" customFormat="1" ht="18.75" thickBot="1" x14ac:dyDescent="0.3">
      <c r="A8" s="8">
        <v>4</v>
      </c>
      <c r="B8" s="54" t="s">
        <v>21</v>
      </c>
      <c r="C8" s="67" t="s">
        <v>22</v>
      </c>
      <c r="D8" s="83" t="s">
        <v>29</v>
      </c>
      <c r="E8" s="83"/>
      <c r="F8" s="68"/>
      <c r="G8" s="357">
        <f>'[1]FFIN2 Fevereiro 2018'!$G$8</f>
        <v>29357395.010000002</v>
      </c>
      <c r="H8" s="58">
        <f t="shared" si="0"/>
        <v>2.8665938090956133E-2</v>
      </c>
      <c r="I8" s="358">
        <f>'[1]FFIN2 Fevereiro 2018'!$I$8</f>
        <v>1.4E-3</v>
      </c>
      <c r="J8" s="84" t="s">
        <v>30</v>
      </c>
      <c r="K8" s="79"/>
      <c r="L8" s="85"/>
      <c r="M8" s="75"/>
      <c r="N8" s="76"/>
      <c r="O8" s="770"/>
      <c r="P8" s="773"/>
      <c r="Q8" s="776"/>
      <c r="R8" s="779"/>
      <c r="S8" s="764"/>
      <c r="T8" s="63"/>
      <c r="U8" s="64"/>
      <c r="V8" s="63"/>
      <c r="W8" s="63"/>
      <c r="X8" s="63"/>
      <c r="Y8" s="65"/>
    </row>
    <row r="9" spans="1:25" s="1" customFormat="1" ht="18" x14ac:dyDescent="0.25">
      <c r="A9" s="8">
        <v>5</v>
      </c>
      <c r="B9" s="66" t="s">
        <v>21</v>
      </c>
      <c r="C9" s="368" t="s">
        <v>22</v>
      </c>
      <c r="D9" s="83" t="s">
        <v>31</v>
      </c>
      <c r="E9" s="83"/>
      <c r="F9" s="77"/>
      <c r="G9" s="362">
        <f>'[1]FFIN2 Fevereiro 2018'!$G$9</f>
        <v>11915648.560000001</v>
      </c>
      <c r="H9" s="58">
        <f t="shared" si="0"/>
        <v>1.1634998398808907E-2</v>
      </c>
      <c r="I9" s="415">
        <f>'[1]FFIN2 Fevereiro 2018'!$I$9</f>
        <v>1.4E-3</v>
      </c>
      <c r="J9" s="369" t="s">
        <v>32</v>
      </c>
      <c r="K9" s="370"/>
      <c r="L9" s="371"/>
      <c r="M9" s="75"/>
      <c r="N9" s="86"/>
      <c r="O9" s="770"/>
      <c r="P9" s="773"/>
      <c r="Q9" s="776"/>
      <c r="R9" s="779"/>
      <c r="S9" s="764"/>
      <c r="T9" s="63"/>
      <c r="U9" s="64"/>
      <c r="V9" s="63"/>
      <c r="W9" s="63"/>
      <c r="X9" s="63"/>
      <c r="Y9" s="65"/>
    </row>
    <row r="10" spans="1:25" s="1" customFormat="1" ht="18" x14ac:dyDescent="0.25">
      <c r="A10" s="8">
        <v>6</v>
      </c>
      <c r="B10" s="54" t="s">
        <v>21</v>
      </c>
      <c r="C10" s="136" t="s">
        <v>22</v>
      </c>
      <c r="D10" s="68" t="s">
        <v>33</v>
      </c>
      <c r="E10" s="68"/>
      <c r="F10" s="68"/>
      <c r="G10" s="384">
        <f>'[1]FFIN2 Fevereiro 2018'!$G$10</f>
        <v>20722867.059999999</v>
      </c>
      <c r="H10" s="58">
        <f t="shared" si="0"/>
        <v>2.0234779823166404E-2</v>
      </c>
      <c r="I10" s="358">
        <f>'[1]FFIN2 Fevereiro 2018'!$I$10</f>
        <v>1.4E-3</v>
      </c>
      <c r="J10" s="72" t="s">
        <v>34</v>
      </c>
      <c r="K10" s="79"/>
      <c r="L10" s="79"/>
      <c r="M10" s="61"/>
      <c r="N10" s="76"/>
      <c r="O10" s="770"/>
      <c r="P10" s="773"/>
      <c r="Q10" s="776"/>
      <c r="R10" s="779"/>
      <c r="S10" s="764"/>
      <c r="T10" s="64"/>
      <c r="U10" s="64"/>
      <c r="V10" s="63"/>
      <c r="W10" s="64"/>
      <c r="X10" s="64"/>
      <c r="Y10" s="90"/>
    </row>
    <row r="11" spans="1:25" s="1" customFormat="1" ht="18" x14ac:dyDescent="0.25">
      <c r="A11" s="8"/>
      <c r="B11" s="372" t="s">
        <v>192</v>
      </c>
      <c r="C11" s="55" t="s">
        <v>22</v>
      </c>
      <c r="D11" s="56" t="s">
        <v>187</v>
      </c>
      <c r="E11" s="56"/>
      <c r="F11" s="56"/>
      <c r="G11" s="357">
        <f>'[2]FFPREV Fevereiro 2018'!$G$5</f>
        <v>12920965.51</v>
      </c>
      <c r="H11" s="58">
        <f t="shared" si="0"/>
        <v>1.2616637043541263E-2</v>
      </c>
      <c r="I11" s="373">
        <f>'[2]FFPREV Fevereiro 2018'!$I$5</f>
        <v>3.5999999999999999E-3</v>
      </c>
      <c r="J11" s="359" t="s">
        <v>24</v>
      </c>
      <c r="K11" s="359"/>
      <c r="L11" s="374"/>
      <c r="M11" s="153"/>
      <c r="N11" s="375"/>
      <c r="O11" s="770"/>
      <c r="P11" s="773"/>
      <c r="Q11" s="776"/>
      <c r="R11" s="779"/>
      <c r="S11" s="764"/>
      <c r="T11" s="64"/>
      <c r="U11" s="64"/>
      <c r="V11" s="63"/>
      <c r="W11" s="64"/>
      <c r="X11" s="64"/>
      <c r="Y11" s="90"/>
    </row>
    <row r="12" spans="1:25" s="1" customFormat="1" ht="18.75" thickBot="1" x14ac:dyDescent="0.3">
      <c r="A12" s="8"/>
      <c r="B12" s="361" t="s">
        <v>192</v>
      </c>
      <c r="C12" s="67" t="s">
        <v>22</v>
      </c>
      <c r="D12" s="68" t="s">
        <v>188</v>
      </c>
      <c r="E12" s="83"/>
      <c r="F12" s="83"/>
      <c r="G12" s="362">
        <f>'[2]FFPREV Fevereiro 2018'!$G$6</f>
        <v>6615656.1299999999</v>
      </c>
      <c r="H12" s="58">
        <f t="shared" si="0"/>
        <v>6.4598370866705323E-3</v>
      </c>
      <c r="I12" s="363">
        <f>'[2]FFPREV Fevereiro 2018'!$I$6</f>
        <v>5.7999999999999996E-3</v>
      </c>
      <c r="J12" s="351" t="s">
        <v>26</v>
      </c>
      <c r="K12" s="352"/>
      <c r="L12" s="353"/>
      <c r="M12" s="153"/>
      <c r="N12" s="76"/>
      <c r="O12" s="770"/>
      <c r="P12" s="773"/>
      <c r="Q12" s="776"/>
      <c r="R12" s="779"/>
      <c r="S12" s="764"/>
      <c r="T12" s="64"/>
      <c r="U12" s="64"/>
      <c r="V12" s="63"/>
      <c r="W12" s="64"/>
      <c r="X12" s="64"/>
      <c r="Y12" s="90"/>
    </row>
    <row r="13" spans="1:25" s="1" customFormat="1" ht="18.75" thickBot="1" x14ac:dyDescent="0.3">
      <c r="A13" s="8"/>
      <c r="B13" s="361" t="s">
        <v>192</v>
      </c>
      <c r="C13" s="67" t="s">
        <v>22</v>
      </c>
      <c r="D13" s="68" t="s">
        <v>189</v>
      </c>
      <c r="E13" s="83"/>
      <c r="F13" s="83"/>
      <c r="G13" s="364">
        <f>'[2]FFPREV Fevereiro 2018'!$G$7</f>
        <v>11319486.789999999</v>
      </c>
      <c r="H13" s="58">
        <f t="shared" si="0"/>
        <v>1.105287807153894E-2</v>
      </c>
      <c r="I13" s="358">
        <f>'[2]FFPREV Fevereiro 2018'!$I$7</f>
        <v>-2.6100000000000002E-2</v>
      </c>
      <c r="J13" s="354" t="s">
        <v>190</v>
      </c>
      <c r="K13" s="352"/>
      <c r="L13" s="360"/>
      <c r="M13" s="153"/>
      <c r="N13" s="76"/>
      <c r="O13" s="770"/>
      <c r="P13" s="773"/>
      <c r="Q13" s="776"/>
      <c r="R13" s="779"/>
      <c r="S13" s="764"/>
      <c r="T13" s="64"/>
      <c r="U13" s="64"/>
      <c r="V13" s="63"/>
      <c r="W13" s="64"/>
      <c r="X13" s="64"/>
      <c r="Y13" s="90"/>
    </row>
    <row r="14" spans="1:25" s="1" customFormat="1" ht="18.75" thickBot="1" x14ac:dyDescent="0.3">
      <c r="A14" s="8"/>
      <c r="B14" s="365" t="s">
        <v>193</v>
      </c>
      <c r="C14" s="67" t="s">
        <v>22</v>
      </c>
      <c r="D14" s="88" t="s">
        <v>191</v>
      </c>
      <c r="E14" s="88"/>
      <c r="F14" s="88"/>
      <c r="G14" s="366">
        <f>'[2]FFPREV Fevereiro 2018'!$G$8</f>
        <v>11052195.76</v>
      </c>
      <c r="H14" s="58">
        <f t="shared" si="0"/>
        <v>1.0791882567147698E-2</v>
      </c>
      <c r="I14" s="367">
        <f>'[2]FFPREV Fevereiro 2018'!$I$8</f>
        <v>1.4E-3</v>
      </c>
      <c r="J14" s="355" t="s">
        <v>30</v>
      </c>
      <c r="K14" s="355"/>
      <c r="L14" s="356"/>
      <c r="M14" s="170"/>
      <c r="N14" s="76"/>
      <c r="O14" s="771"/>
      <c r="P14" s="774"/>
      <c r="Q14" s="777"/>
      <c r="R14" s="780"/>
      <c r="S14" s="765"/>
      <c r="T14" s="64"/>
      <c r="U14" s="64"/>
      <c r="V14" s="63"/>
      <c r="W14" s="64"/>
      <c r="X14" s="64"/>
      <c r="Y14" s="90"/>
    </row>
    <row r="15" spans="1:25" s="53" customFormat="1" ht="18.75" thickBot="1" x14ac:dyDescent="0.25">
      <c r="A15" s="40"/>
      <c r="B15" s="334" t="s">
        <v>164</v>
      </c>
      <c r="C15" s="335"/>
      <c r="D15" s="336"/>
      <c r="E15" s="336"/>
      <c r="F15" s="336"/>
      <c r="G15" s="582">
        <f>SUM(G16:G28)</f>
        <v>422230188.72000009</v>
      </c>
      <c r="H15" s="58">
        <f t="shared" si="0"/>
        <v>0.41228536952469358</v>
      </c>
      <c r="I15" s="91"/>
      <c r="J15" s="92"/>
      <c r="K15" s="92"/>
      <c r="L15" s="44"/>
      <c r="M15" s="93"/>
      <c r="N15" s="131"/>
      <c r="O15" s="572"/>
      <c r="P15" s="320"/>
      <c r="Q15" s="619"/>
      <c r="R15" s="619"/>
      <c r="S15" s="573"/>
      <c r="T15" s="52"/>
      <c r="U15" s="52"/>
      <c r="V15" s="52"/>
      <c r="W15" s="52"/>
      <c r="X15" s="52"/>
      <c r="Y15" s="52"/>
    </row>
    <row r="16" spans="1:25" s="1" customFormat="1" ht="15.75" customHeight="1" thickBot="1" x14ac:dyDescent="0.3">
      <c r="A16" s="8">
        <v>7</v>
      </c>
      <c r="B16" s="636" t="s">
        <v>35</v>
      </c>
      <c r="C16" s="98" t="s">
        <v>36</v>
      </c>
      <c r="D16" s="99" t="s">
        <v>37</v>
      </c>
      <c r="E16" s="438" t="s">
        <v>38</v>
      </c>
      <c r="F16" s="100" t="s">
        <v>39</v>
      </c>
      <c r="G16" s="583">
        <f>'[1]FFIN2 Fevereiro 2018'!$G$12</f>
        <v>50860137.299999997</v>
      </c>
      <c r="H16" s="199">
        <f t="shared" si="0"/>
        <v>4.9662224684537112E-2</v>
      </c>
      <c r="I16" s="432">
        <f>'[1]FFIN2 Fevereiro 2018'!$I$12</f>
        <v>5.1999999999999998E-3</v>
      </c>
      <c r="J16" s="637"/>
      <c r="K16" s="144"/>
      <c r="L16" s="145" t="s">
        <v>40</v>
      </c>
      <c r="M16" s="638">
        <f>'[1]FFIN2 Fevereiro 2018'!$M$12</f>
        <v>1327754160.5799999</v>
      </c>
      <c r="N16" s="106">
        <f t="shared" ref="N16:N28" si="1">G16/M16</f>
        <v>3.8305387254657798E-2</v>
      </c>
      <c r="O16" s="781" t="s">
        <v>41</v>
      </c>
      <c r="P16" s="784">
        <f>(SUM(G16:G28)/G91)</f>
        <v>0.41228536952469358</v>
      </c>
      <c r="Q16" s="787">
        <v>1</v>
      </c>
      <c r="R16" s="790">
        <v>0.5</v>
      </c>
      <c r="S16" s="793" t="s">
        <v>296</v>
      </c>
      <c r="T16" s="64"/>
      <c r="U16" s="64"/>
      <c r="V16" s="63"/>
      <c r="W16" s="64"/>
      <c r="X16" s="64"/>
      <c r="Y16" s="90"/>
    </row>
    <row r="17" spans="1:25" s="1" customFormat="1" ht="15.75" customHeight="1" thickBot="1" x14ac:dyDescent="0.3">
      <c r="A17" s="8"/>
      <c r="B17" s="54" t="s">
        <v>322</v>
      </c>
      <c r="C17" s="98" t="s">
        <v>36</v>
      </c>
      <c r="D17" s="83" t="s">
        <v>37</v>
      </c>
      <c r="E17" s="110" t="s">
        <v>38</v>
      </c>
      <c r="F17" s="115" t="s">
        <v>39</v>
      </c>
      <c r="G17" s="384">
        <f>'[2]FFPREV Fevereiro 2018'!$G$10</f>
        <v>5011371.2699999996</v>
      </c>
      <c r="H17" s="207">
        <f t="shared" si="0"/>
        <v>4.8933380678933807E-3</v>
      </c>
      <c r="I17" s="358">
        <f>'[2]FFPREV Fevereiro 2018'!$I$10</f>
        <v>5.1999999999999998E-3</v>
      </c>
      <c r="J17" s="111"/>
      <c r="K17" s="147"/>
      <c r="L17" s="118" t="s">
        <v>40</v>
      </c>
      <c r="M17" s="445">
        <f>'[2]FFPREV Fevereiro 2018'!$M$10</f>
        <v>1327754160.5799999</v>
      </c>
      <c r="N17" s="128">
        <f t="shared" si="1"/>
        <v>3.7743216468709038E-3</v>
      </c>
      <c r="O17" s="782"/>
      <c r="P17" s="785"/>
      <c r="Q17" s="788"/>
      <c r="R17" s="791"/>
      <c r="S17" s="794"/>
      <c r="T17" s="64"/>
      <c r="U17" s="64"/>
      <c r="V17" s="63"/>
      <c r="W17" s="64"/>
      <c r="X17" s="64"/>
      <c r="Y17" s="90"/>
    </row>
    <row r="18" spans="1:25" s="1" customFormat="1" ht="15.75" customHeight="1" thickBot="1" x14ac:dyDescent="0.3">
      <c r="A18" s="8">
        <v>8</v>
      </c>
      <c r="B18" s="107" t="s">
        <v>42</v>
      </c>
      <c r="C18" s="108" t="s">
        <v>43</v>
      </c>
      <c r="D18" s="56" t="s">
        <v>44</v>
      </c>
      <c r="E18" s="109" t="s">
        <v>38</v>
      </c>
      <c r="F18" s="110" t="s">
        <v>39</v>
      </c>
      <c r="G18" s="384">
        <f>'[1]FFIN2 Fevereiro 2018'!$G$13</f>
        <v>29564556.870000001</v>
      </c>
      <c r="H18" s="102">
        <f t="shared" si="0"/>
        <v>2.8868220652182849E-2</v>
      </c>
      <c r="I18" s="376">
        <f>'[1]FFIN2 Fevereiro 2018'!$I$13</f>
        <v>1.1029000000000001E-2</v>
      </c>
      <c r="J18" s="111"/>
      <c r="K18" s="112"/>
      <c r="L18" s="113" t="s">
        <v>45</v>
      </c>
      <c r="M18" s="418">
        <f>'[1]FFIN2 Fevereiro 2018'!$M$13</f>
        <v>5033878676.0100002</v>
      </c>
      <c r="N18" s="114">
        <f t="shared" si="1"/>
        <v>5.8731166904947606E-3</v>
      </c>
      <c r="O18" s="782"/>
      <c r="P18" s="785"/>
      <c r="Q18" s="788"/>
      <c r="R18" s="791"/>
      <c r="S18" s="794"/>
      <c r="T18" s="64"/>
      <c r="U18" s="64"/>
      <c r="V18" s="63"/>
      <c r="W18" s="64"/>
      <c r="X18" s="64"/>
      <c r="Y18" s="90"/>
    </row>
    <row r="19" spans="1:25" s="1" customFormat="1" ht="15.75" customHeight="1" thickBot="1" x14ac:dyDescent="0.3">
      <c r="A19" s="8"/>
      <c r="B19" s="107" t="s">
        <v>194</v>
      </c>
      <c r="C19" s="108" t="s">
        <v>43</v>
      </c>
      <c r="D19" s="56" t="s">
        <v>44</v>
      </c>
      <c r="E19" s="109" t="s">
        <v>38</v>
      </c>
      <c r="F19" s="110" t="s">
        <v>39</v>
      </c>
      <c r="G19" s="357">
        <f>'[2]FFPREV Fevereiro 2018'!$G$11</f>
        <v>17725853.77</v>
      </c>
      <c r="H19" s="102">
        <f t="shared" si="0"/>
        <v>1.7308355411203132E-2</v>
      </c>
      <c r="I19" s="376">
        <f>'[2]FFPREV Fevereiro 2018'!$I$11</f>
        <v>1.1029000000000001E-2</v>
      </c>
      <c r="J19" s="111"/>
      <c r="K19" s="377"/>
      <c r="L19" s="211" t="s">
        <v>45</v>
      </c>
      <c r="M19" s="419">
        <f>'[2]FFPREV Fevereiro 2018'!$M$11</f>
        <v>5033878676.0100002</v>
      </c>
      <c r="N19" s="378">
        <f t="shared" si="1"/>
        <v>3.5213112811948084E-3</v>
      </c>
      <c r="O19" s="782"/>
      <c r="P19" s="785"/>
      <c r="Q19" s="788"/>
      <c r="R19" s="791"/>
      <c r="S19" s="794"/>
      <c r="T19" s="64"/>
      <c r="U19" s="64"/>
      <c r="V19" s="63"/>
      <c r="W19" s="64"/>
      <c r="X19" s="64"/>
      <c r="Y19" s="90"/>
    </row>
    <row r="20" spans="1:25" s="1" customFormat="1" ht="15.75" customHeight="1" thickBot="1" x14ac:dyDescent="0.3">
      <c r="A20" s="8"/>
      <c r="B20" s="107" t="s">
        <v>42</v>
      </c>
      <c r="C20" s="108" t="s">
        <v>43</v>
      </c>
      <c r="D20" s="56" t="s">
        <v>61</v>
      </c>
      <c r="E20" s="109" t="s">
        <v>38</v>
      </c>
      <c r="F20" s="109" t="s">
        <v>39</v>
      </c>
      <c r="G20" s="584">
        <f>'[1]FFIN2 Fevereiro 2018'!$G$14</f>
        <v>20402721.870000001</v>
      </c>
      <c r="H20" s="102">
        <f t="shared" ref="H20:H23" si="2">G20/$G$91</f>
        <v>1.9922175036756324E-2</v>
      </c>
      <c r="I20" s="376">
        <f>'[1]FFIN2 Fevereiro 2018'!$I$14</f>
        <v>5.2009999999999999E-3</v>
      </c>
      <c r="J20" s="111"/>
      <c r="K20" s="112"/>
      <c r="L20" s="127" t="s">
        <v>53</v>
      </c>
      <c r="M20" s="428">
        <f>'[1]FFIN2 Fevereiro 2018'!$M$14</f>
        <v>2178485001.4400001</v>
      </c>
      <c r="N20" s="114">
        <f t="shared" si="1"/>
        <v>9.3655553545301442E-3</v>
      </c>
      <c r="O20" s="782"/>
      <c r="P20" s="785"/>
      <c r="Q20" s="788"/>
      <c r="R20" s="791"/>
      <c r="S20" s="794"/>
      <c r="T20" s="64"/>
      <c r="U20" s="64"/>
      <c r="V20" s="63"/>
      <c r="W20" s="64"/>
      <c r="X20" s="64"/>
      <c r="Y20" s="90"/>
    </row>
    <row r="21" spans="1:25" s="1" customFormat="1" ht="15.75" customHeight="1" thickBot="1" x14ac:dyDescent="0.3">
      <c r="A21" s="8"/>
      <c r="B21" s="107" t="s">
        <v>214</v>
      </c>
      <c r="C21" s="108" t="s">
        <v>43</v>
      </c>
      <c r="D21" s="56" t="s">
        <v>61</v>
      </c>
      <c r="E21" s="110" t="s">
        <v>38</v>
      </c>
      <c r="F21" s="190" t="s">
        <v>39</v>
      </c>
      <c r="G21" s="357">
        <f>'[2]FFPREV Fevereiro 2018'!$G$12</f>
        <v>19755709.539999999</v>
      </c>
      <c r="H21" s="102">
        <f t="shared" si="2"/>
        <v>1.9290401836526958E-2</v>
      </c>
      <c r="I21" s="376">
        <f>'[2]FFPREV Fevereiro 2018'!$I$12</f>
        <v>5.2009999999999999E-3</v>
      </c>
      <c r="J21" s="111"/>
      <c r="K21" s="377"/>
      <c r="L21" s="381" t="s">
        <v>53</v>
      </c>
      <c r="M21" s="429">
        <f>'[2]FFPREV Fevereiro 2018'!$M$12</f>
        <v>2178485001.4400001</v>
      </c>
      <c r="N21" s="378">
        <f t="shared" si="1"/>
        <v>9.0685543058323936E-3</v>
      </c>
      <c r="O21" s="782"/>
      <c r="P21" s="785"/>
      <c r="Q21" s="788"/>
      <c r="R21" s="791"/>
      <c r="S21" s="794"/>
      <c r="T21" s="64"/>
      <c r="U21" s="64"/>
      <c r="V21" s="63"/>
      <c r="W21" s="64"/>
      <c r="X21" s="64"/>
      <c r="Y21" s="90"/>
    </row>
    <row r="22" spans="1:25" s="1" customFormat="1" ht="15.75" customHeight="1" thickBot="1" x14ac:dyDescent="0.3">
      <c r="A22" s="8"/>
      <c r="B22" s="54" t="s">
        <v>55</v>
      </c>
      <c r="C22" s="98" t="s">
        <v>36</v>
      </c>
      <c r="D22" s="68" t="s">
        <v>56</v>
      </c>
      <c r="E22" s="124" t="s">
        <v>38</v>
      </c>
      <c r="F22" s="124" t="s">
        <v>39</v>
      </c>
      <c r="G22" s="386">
        <f>'[1]FFIN2 Fevereiro 2018'!$G$18</f>
        <v>6908403.5499999998</v>
      </c>
      <c r="H22" s="102">
        <f t="shared" si="2"/>
        <v>6.7456894048053195E-3</v>
      </c>
      <c r="I22" s="358">
        <f>'[1]FFIN2 Fevereiro 2018'!$I$18</f>
        <v>5.1000000000000004E-3</v>
      </c>
      <c r="J22" s="125"/>
      <c r="K22" s="126"/>
      <c r="L22" s="127" t="s">
        <v>53</v>
      </c>
      <c r="M22" s="420">
        <f>'[1]FFIN2 Fevereiro 2018'!$M$18</f>
        <v>1762293081</v>
      </c>
      <c r="N22" s="128">
        <f t="shared" si="1"/>
        <v>3.9201218142897541E-3</v>
      </c>
      <c r="O22" s="782"/>
      <c r="P22" s="785"/>
      <c r="Q22" s="788"/>
      <c r="R22" s="791"/>
      <c r="S22" s="794"/>
      <c r="T22" s="64"/>
      <c r="U22" s="64"/>
      <c r="V22" s="63"/>
      <c r="W22" s="64"/>
      <c r="X22" s="64"/>
      <c r="Y22" s="90"/>
    </row>
    <row r="23" spans="1:25" s="1" customFormat="1" ht="15.75" customHeight="1" thickBot="1" x14ac:dyDescent="0.3">
      <c r="A23" s="8">
        <v>9</v>
      </c>
      <c r="B23" s="107" t="s">
        <v>46</v>
      </c>
      <c r="C23" s="98" t="s">
        <v>36</v>
      </c>
      <c r="D23" s="68" t="s">
        <v>47</v>
      </c>
      <c r="E23" s="115" t="s">
        <v>48</v>
      </c>
      <c r="F23" s="115" t="s">
        <v>49</v>
      </c>
      <c r="G23" s="384">
        <f>'[1]FFIN2 Fevereiro 2018'!$G$15</f>
        <v>12598324.369999999</v>
      </c>
      <c r="H23" s="102">
        <f t="shared" si="2"/>
        <v>1.2301595094428096E-2</v>
      </c>
      <c r="I23" s="363">
        <f>'[1]FFIN2 Fevereiro 2018'!$I$15</f>
        <v>4.8999999999999998E-3</v>
      </c>
      <c r="J23" s="117"/>
      <c r="K23" s="112"/>
      <c r="L23" s="118" t="s">
        <v>40</v>
      </c>
      <c r="M23" s="418">
        <f>'[1]FFIN2 Fevereiro 2018'!$M$15</f>
        <v>315675443.5</v>
      </c>
      <c r="N23" s="119">
        <f t="shared" si="1"/>
        <v>3.9909104839825779E-2</v>
      </c>
      <c r="O23" s="782"/>
      <c r="P23" s="785"/>
      <c r="Q23" s="788"/>
      <c r="R23" s="791"/>
      <c r="S23" s="794"/>
      <c r="T23" s="64"/>
      <c r="U23" s="64"/>
      <c r="V23" s="63"/>
      <c r="W23" s="64"/>
      <c r="X23" s="64"/>
      <c r="Y23" s="90"/>
    </row>
    <row r="24" spans="1:25" s="1" customFormat="1" ht="18.75" thickBot="1" x14ac:dyDescent="0.3">
      <c r="A24" s="8">
        <v>10</v>
      </c>
      <c r="B24" s="120" t="s">
        <v>50</v>
      </c>
      <c r="C24" s="88" t="s">
        <v>51</v>
      </c>
      <c r="D24" s="68" t="s">
        <v>52</v>
      </c>
      <c r="E24" s="110" t="s">
        <v>38</v>
      </c>
      <c r="F24" s="110" t="s">
        <v>38</v>
      </c>
      <c r="G24" s="585">
        <f>'[1]FFIN2 Fevereiro 2018'!$G$16</f>
        <v>52576790.689999998</v>
      </c>
      <c r="H24" s="102">
        <f>G24/$G$91</f>
        <v>5.1338445608927974E-2</v>
      </c>
      <c r="I24" s="358">
        <f>'[1]FFIN2 Fevereiro 2018'!$I$16</f>
        <v>5.3179999999999998E-3</v>
      </c>
      <c r="J24" s="121"/>
      <c r="K24" s="122"/>
      <c r="L24" s="123" t="s">
        <v>53</v>
      </c>
      <c r="M24" s="421">
        <f>'[1]FFIN2 Fevereiro 2018'!$M$16</f>
        <v>6991874867.3299999</v>
      </c>
      <c r="N24" s="119">
        <f t="shared" si="1"/>
        <v>7.5196984625209105E-3</v>
      </c>
      <c r="O24" s="782"/>
      <c r="P24" s="785"/>
      <c r="Q24" s="788"/>
      <c r="R24" s="791"/>
      <c r="S24" s="794"/>
      <c r="T24" s="64"/>
      <c r="U24" s="64"/>
      <c r="V24" s="63"/>
      <c r="W24" s="64"/>
      <c r="X24" s="64"/>
      <c r="Y24" s="90"/>
    </row>
    <row r="25" spans="1:25" s="1" customFormat="1" ht="18.75" thickBot="1" x14ac:dyDescent="0.3">
      <c r="A25" s="8">
        <v>11</v>
      </c>
      <c r="B25" s="120" t="s">
        <v>50</v>
      </c>
      <c r="C25" s="88" t="s">
        <v>51</v>
      </c>
      <c r="D25" s="68" t="s">
        <v>54</v>
      </c>
      <c r="E25" s="110" t="s">
        <v>38</v>
      </c>
      <c r="F25" s="110" t="s">
        <v>38</v>
      </c>
      <c r="G25" s="585">
        <f>'[1]FFIN2 Fevereiro 2018'!$G$17</f>
        <v>106154743.59</v>
      </c>
      <c r="H25" s="102">
        <f>G25/$G$91</f>
        <v>0.10365447297949008</v>
      </c>
      <c r="I25" s="358">
        <f>'[1]FFIN2 Fevereiro 2018'!$I$17</f>
        <v>1.1694E-2</v>
      </c>
      <c r="J25" s="121"/>
      <c r="K25" s="122"/>
      <c r="L25" s="123" t="s">
        <v>53</v>
      </c>
      <c r="M25" s="421">
        <f>'[1]FFIN2 Fevereiro 2018'!$M$17</f>
        <v>2813285709.3299999</v>
      </c>
      <c r="N25" s="119">
        <f t="shared" si="1"/>
        <v>3.7733367513277334E-2</v>
      </c>
      <c r="O25" s="782"/>
      <c r="P25" s="785"/>
      <c r="Q25" s="788"/>
      <c r="R25" s="791"/>
      <c r="S25" s="794"/>
      <c r="T25" s="64"/>
      <c r="U25" s="64"/>
      <c r="V25" s="63"/>
      <c r="W25" s="64"/>
      <c r="X25" s="64"/>
      <c r="Y25" s="90"/>
    </row>
    <row r="26" spans="1:25" s="1" customFormat="1" ht="18.75" thickBot="1" x14ac:dyDescent="0.3">
      <c r="A26" s="8"/>
      <c r="B26" s="120" t="s">
        <v>196</v>
      </c>
      <c r="C26" s="88" t="s">
        <v>51</v>
      </c>
      <c r="D26" s="68" t="s">
        <v>54</v>
      </c>
      <c r="E26" s="115" t="s">
        <v>38</v>
      </c>
      <c r="F26" s="115" t="s">
        <v>38</v>
      </c>
      <c r="G26" s="364">
        <f>'[2]FFPREV Fevereiro 2018'!$G$13</f>
        <v>51555735.890000001</v>
      </c>
      <c r="H26" s="102">
        <f>G26/$G$91</f>
        <v>5.034143978895303E-2</v>
      </c>
      <c r="I26" s="358">
        <f>'[2]FFPREV Fevereiro 2018'!$I$13</f>
        <v>1.1694E-2</v>
      </c>
      <c r="J26" s="379"/>
      <c r="K26" s="380"/>
      <c r="L26" s="381" t="s">
        <v>53</v>
      </c>
      <c r="M26" s="422">
        <f>'[2]FFPREV Fevereiro 2018'!$M$13</f>
        <v>2813285709.3299999</v>
      </c>
      <c r="N26" s="119">
        <f t="shared" si="1"/>
        <v>1.8325808757717072E-2</v>
      </c>
      <c r="O26" s="782"/>
      <c r="P26" s="785"/>
      <c r="Q26" s="788"/>
      <c r="R26" s="791"/>
      <c r="S26" s="794"/>
      <c r="T26" s="64"/>
      <c r="U26" s="64"/>
      <c r="V26" s="63"/>
      <c r="W26" s="64"/>
      <c r="X26" s="64"/>
      <c r="Y26" s="90"/>
    </row>
    <row r="27" spans="1:25" s="1" customFormat="1" ht="18.75" thickBot="1" x14ac:dyDescent="0.3">
      <c r="A27" s="8">
        <v>12</v>
      </c>
      <c r="B27" s="54" t="s">
        <v>196</v>
      </c>
      <c r="C27" s="197" t="s">
        <v>51</v>
      </c>
      <c r="D27" s="83" t="s">
        <v>197</v>
      </c>
      <c r="E27" s="115" t="s">
        <v>38</v>
      </c>
      <c r="F27" s="115" t="s">
        <v>38</v>
      </c>
      <c r="G27" s="364">
        <f>'[2]FFPREV Fevereiro 2018'!$G$14</f>
        <v>42014008.590000004</v>
      </c>
      <c r="H27" s="102">
        <f>G27/$G$91</f>
        <v>4.1024449505264161E-2</v>
      </c>
      <c r="I27" s="358">
        <f>'[2]FFPREV Fevereiro 2018'!$I$14</f>
        <v>5.3179999999999998E-3</v>
      </c>
      <c r="J27" s="125"/>
      <c r="K27" s="383"/>
      <c r="L27" s="381" t="s">
        <v>53</v>
      </c>
      <c r="M27" s="423">
        <f>'[2]FFPREV Fevereiro 2018'!$M$14</f>
        <v>6991874867.3299999</v>
      </c>
      <c r="N27" s="119">
        <f t="shared" si="1"/>
        <v>6.0089760453684964E-3</v>
      </c>
      <c r="O27" s="782"/>
      <c r="P27" s="785"/>
      <c r="Q27" s="788"/>
      <c r="R27" s="791"/>
      <c r="S27" s="794"/>
      <c r="T27" s="64"/>
      <c r="U27" s="64"/>
      <c r="V27" s="63"/>
      <c r="W27" s="64"/>
      <c r="X27" s="64"/>
      <c r="Y27" s="90"/>
    </row>
    <row r="28" spans="1:25" s="1" customFormat="1" ht="18.75" thickBot="1" x14ac:dyDescent="0.3">
      <c r="A28" s="129">
        <v>13</v>
      </c>
      <c r="B28" s="227" t="s">
        <v>57</v>
      </c>
      <c r="C28" s="312"/>
      <c r="D28" s="88" t="s">
        <v>58</v>
      </c>
      <c r="E28" s="155" t="s">
        <v>38</v>
      </c>
      <c r="F28" s="155" t="s">
        <v>39</v>
      </c>
      <c r="G28" s="586">
        <f>'[1]FFIN2 Fevereiro 2018'!$G$19</f>
        <v>7101831.4199999999</v>
      </c>
      <c r="H28" s="102">
        <f>G28/$G$91</f>
        <v>6.9345614537250815E-3</v>
      </c>
      <c r="I28" s="367">
        <f>'[1]FFIN2 Fevereiro 2018'!$I$19</f>
        <v>5.1000000000000004E-3</v>
      </c>
      <c r="J28" s="313"/>
      <c r="K28" s="175"/>
      <c r="L28" s="314" t="s">
        <v>40</v>
      </c>
      <c r="M28" s="424">
        <f>'[1]FFIN2 Fevereiro 2018'!$M$19</f>
        <v>59474173.159999996</v>
      </c>
      <c r="N28" s="161">
        <f t="shared" si="1"/>
        <v>0.1194103430558731</v>
      </c>
      <c r="O28" s="783"/>
      <c r="P28" s="786"/>
      <c r="Q28" s="789"/>
      <c r="R28" s="792"/>
      <c r="S28" s="795"/>
      <c r="T28" s="64"/>
      <c r="U28" s="64"/>
      <c r="V28" s="63"/>
      <c r="W28" s="64"/>
      <c r="X28" s="64"/>
      <c r="Y28" s="90"/>
    </row>
    <row r="29" spans="1:25" s="1" customFormat="1" ht="23.25" thickBot="1" x14ac:dyDescent="0.3">
      <c r="A29" s="185"/>
      <c r="B29" s="337" t="s">
        <v>168</v>
      </c>
      <c r="C29" s="338"/>
      <c r="D29" s="339"/>
      <c r="E29" s="340"/>
      <c r="F29" s="340"/>
      <c r="G29" s="609">
        <v>0</v>
      </c>
      <c r="H29" s="43"/>
      <c r="I29" s="43"/>
      <c r="J29" s="43"/>
      <c r="K29" s="318"/>
      <c r="L29" s="321"/>
      <c r="M29" s="315"/>
      <c r="N29" s="187"/>
      <c r="O29" s="316" t="s">
        <v>41</v>
      </c>
      <c r="P29" s="621">
        <v>0</v>
      </c>
      <c r="Q29" s="173">
        <v>1</v>
      </c>
      <c r="R29" s="96">
        <v>0</v>
      </c>
      <c r="S29" s="622" t="s">
        <v>297</v>
      </c>
      <c r="T29" s="64"/>
      <c r="U29" s="64"/>
      <c r="V29" s="63"/>
      <c r="W29" s="64"/>
      <c r="X29" s="64"/>
      <c r="Y29" s="90"/>
    </row>
    <row r="30" spans="1:25" s="1" customFormat="1" ht="23.25" thickBot="1" x14ac:dyDescent="0.3">
      <c r="A30" s="185"/>
      <c r="B30" s="337" t="s">
        <v>165</v>
      </c>
      <c r="C30" s="338"/>
      <c r="D30" s="341"/>
      <c r="E30" s="342"/>
      <c r="F30" s="342"/>
      <c r="G30" s="609">
        <v>0</v>
      </c>
      <c r="H30" s="43"/>
      <c r="I30" s="116"/>
      <c r="J30" s="116"/>
      <c r="K30" s="198"/>
      <c r="L30" s="113"/>
      <c r="M30" s="319"/>
      <c r="N30" s="218"/>
      <c r="O30" s="316" t="s">
        <v>41</v>
      </c>
      <c r="P30" s="322">
        <v>0</v>
      </c>
      <c r="Q30" s="172">
        <v>0.05</v>
      </c>
      <c r="R30" s="173">
        <v>0</v>
      </c>
      <c r="S30" s="569" t="s">
        <v>298</v>
      </c>
      <c r="T30" s="64"/>
      <c r="U30" s="64"/>
      <c r="V30" s="63"/>
      <c r="W30" s="64"/>
      <c r="X30" s="64"/>
      <c r="Y30" s="90"/>
    </row>
    <row r="31" spans="1:25" s="53" customFormat="1" ht="18.75" thickBot="1" x14ac:dyDescent="0.25">
      <c r="A31" s="40"/>
      <c r="B31" s="334" t="s">
        <v>166</v>
      </c>
      <c r="C31" s="335"/>
      <c r="D31" s="336"/>
      <c r="E31" s="336"/>
      <c r="F31" s="336"/>
      <c r="G31" s="582"/>
      <c r="H31" s="43">
        <f>G31/$G$91</f>
        <v>0</v>
      </c>
      <c r="I31" s="91"/>
      <c r="J31" s="44"/>
      <c r="K31" s="44"/>
      <c r="L31" s="44"/>
      <c r="M31" s="130"/>
      <c r="N31" s="131"/>
      <c r="O31" s="42"/>
      <c r="P31" s="617"/>
      <c r="Q31" s="617"/>
      <c r="R31" s="617"/>
      <c r="S31" s="140"/>
      <c r="T31" s="52"/>
      <c r="U31" s="52"/>
      <c r="V31" s="52"/>
      <c r="W31" s="52"/>
      <c r="X31" s="52"/>
      <c r="Y31" s="52"/>
    </row>
    <row r="32" spans="1:25" s="1" customFormat="1" ht="23.25" thickBot="1" x14ac:dyDescent="0.3">
      <c r="A32" s="8"/>
      <c r="B32" s="343" t="s">
        <v>172</v>
      </c>
      <c r="C32" s="338"/>
      <c r="D32" s="344"/>
      <c r="E32" s="340"/>
      <c r="F32" s="340"/>
      <c r="G32" s="610">
        <v>0</v>
      </c>
      <c r="H32" s="328"/>
      <c r="I32" s="43"/>
      <c r="J32" s="215"/>
      <c r="K32" s="329"/>
      <c r="L32" s="310"/>
      <c r="M32" s="330"/>
      <c r="N32" s="43"/>
      <c r="O32" s="316" t="s">
        <v>167</v>
      </c>
      <c r="P32" s="322">
        <v>0</v>
      </c>
      <c r="Q32" s="173">
        <v>0.6</v>
      </c>
      <c r="R32" s="620">
        <v>0</v>
      </c>
      <c r="S32" s="570" t="s">
        <v>299</v>
      </c>
      <c r="T32" s="139"/>
      <c r="U32" s="64"/>
      <c r="V32" s="63"/>
      <c r="W32" s="63"/>
      <c r="X32" s="63"/>
      <c r="Y32" s="65"/>
    </row>
    <row r="33" spans="1:25" s="53" customFormat="1" ht="18.75" thickBot="1" x14ac:dyDescent="0.25">
      <c r="A33" s="40"/>
      <c r="B33" s="334" t="s">
        <v>170</v>
      </c>
      <c r="C33" s="335"/>
      <c r="D33" s="336"/>
      <c r="E33" s="336"/>
      <c r="F33" s="336"/>
      <c r="G33" s="587">
        <f>SUM(G34:G48)</f>
        <v>243110303.02000001</v>
      </c>
      <c r="H33" s="215">
        <f>G33/$G$91</f>
        <v>0.23738430788123613</v>
      </c>
      <c r="I33" s="327"/>
      <c r="J33" s="92"/>
      <c r="K33" s="162"/>
      <c r="L33" s="44"/>
      <c r="M33" s="130"/>
      <c r="N33" s="131"/>
      <c r="O33" s="42"/>
      <c r="P33" s="617"/>
      <c r="Q33" s="617"/>
      <c r="R33" s="617"/>
      <c r="S33" s="140"/>
      <c r="T33" s="52"/>
      <c r="U33" s="52"/>
      <c r="V33" s="52"/>
      <c r="W33" s="52"/>
      <c r="X33" s="52"/>
      <c r="Y33" s="52"/>
    </row>
    <row r="34" spans="1:25" s="1" customFormat="1" ht="18" x14ac:dyDescent="0.25">
      <c r="A34" s="8">
        <v>18</v>
      </c>
      <c r="B34" s="54" t="s">
        <v>67</v>
      </c>
      <c r="C34" s="136" t="s">
        <v>68</v>
      </c>
      <c r="D34" s="68" t="s">
        <v>69</v>
      </c>
      <c r="E34" s="124" t="s">
        <v>70</v>
      </c>
      <c r="F34" s="124" t="s">
        <v>70</v>
      </c>
      <c r="G34" s="386">
        <f>'[1]FFIN2 Fevereiro 2018'!$G$25</f>
        <v>0</v>
      </c>
      <c r="H34" s="141">
        <f>G34/$G$91</f>
        <v>0</v>
      </c>
      <c r="I34" s="432">
        <f>'[1]FFIN2 Fevereiro 2018'!$I$25</f>
        <v>0</v>
      </c>
      <c r="J34" s="143"/>
      <c r="K34" s="144"/>
      <c r="L34" s="145" t="s">
        <v>71</v>
      </c>
      <c r="M34" s="404">
        <f>'[1]FFIN2 Fevereiro 2018'!$M$25</f>
        <v>6893035004.8800001</v>
      </c>
      <c r="N34" s="119">
        <f t="shared" ref="N34:N48" si="3">G34/M34</f>
        <v>0</v>
      </c>
      <c r="O34" s="781" t="s">
        <v>60</v>
      </c>
      <c r="P34" s="796">
        <f>SUM(G34:G48)/G91</f>
        <v>0.23738430788123613</v>
      </c>
      <c r="Q34" s="775">
        <v>0.4</v>
      </c>
      <c r="R34" s="790">
        <v>0.3</v>
      </c>
      <c r="S34" s="793" t="s">
        <v>300</v>
      </c>
      <c r="T34" s="64"/>
      <c r="U34" s="64"/>
      <c r="V34" s="63"/>
      <c r="W34" s="64"/>
      <c r="X34" s="64"/>
      <c r="Y34" s="90"/>
    </row>
    <row r="35" spans="1:25" s="1" customFormat="1" ht="18" x14ac:dyDescent="0.25">
      <c r="A35" s="8">
        <v>19</v>
      </c>
      <c r="B35" s="54" t="s">
        <v>72</v>
      </c>
      <c r="C35" s="136" t="s">
        <v>68</v>
      </c>
      <c r="D35" s="68" t="s">
        <v>73</v>
      </c>
      <c r="E35" s="124" t="s">
        <v>70</v>
      </c>
      <c r="F35" s="124" t="s">
        <v>74</v>
      </c>
      <c r="G35" s="386">
        <f>'[1]FFIN2 Fevereiro 2018'!$G$26</f>
        <v>12612603.859999999</v>
      </c>
      <c r="H35" s="141">
        <f>G35/$G$91</f>
        <v>1.2315538258532779E-2</v>
      </c>
      <c r="I35" s="415">
        <f>'[1]FFIN2 Fevereiro 2018'!$I$26</f>
        <v>4.0000000000000001E-3</v>
      </c>
      <c r="J35" s="111"/>
      <c r="K35" s="126"/>
      <c r="L35" s="127" t="s">
        <v>71</v>
      </c>
      <c r="M35" s="404">
        <f>'[1]FFIN2 Fevereiro 2018'!$M$30</f>
        <v>10845052436</v>
      </c>
      <c r="N35" s="119">
        <f t="shared" si="3"/>
        <v>1.1629822847266868E-3</v>
      </c>
      <c r="O35" s="782"/>
      <c r="P35" s="797"/>
      <c r="Q35" s="776"/>
      <c r="R35" s="791"/>
      <c r="S35" s="794"/>
      <c r="T35" s="64"/>
      <c r="U35" s="64"/>
      <c r="V35" s="63"/>
      <c r="W35" s="64"/>
      <c r="X35" s="64"/>
      <c r="Y35" s="90"/>
    </row>
    <row r="36" spans="1:25" s="1" customFormat="1" ht="18" x14ac:dyDescent="0.25">
      <c r="A36" s="8">
        <v>20</v>
      </c>
      <c r="B36" s="54" t="s">
        <v>72</v>
      </c>
      <c r="C36" s="136" t="s">
        <v>68</v>
      </c>
      <c r="D36" s="68" t="s">
        <v>69</v>
      </c>
      <c r="E36" s="124" t="s">
        <v>70</v>
      </c>
      <c r="F36" s="124" t="s">
        <v>70</v>
      </c>
      <c r="G36" s="386">
        <f>'[1]FFIN2 Fevereiro 2018'!$G$27</f>
        <v>93503.51</v>
      </c>
      <c r="H36" s="141">
        <f>G36/$G$91</f>
        <v>9.1301214839875449E-5</v>
      </c>
      <c r="I36" s="415">
        <f>'[1]FFIN2 Fevereiro 2018'!$I$27</f>
        <v>4.5999999999999999E-3</v>
      </c>
      <c r="J36" s="146"/>
      <c r="K36" s="147"/>
      <c r="L36" s="127" t="s">
        <v>71</v>
      </c>
      <c r="M36" s="404">
        <f>'[1]FFIN2 Fevereiro 2018'!$M$27</f>
        <v>6893035004.8800001</v>
      </c>
      <c r="N36" s="119">
        <f t="shared" si="3"/>
        <v>1.3564926035310012E-5</v>
      </c>
      <c r="O36" s="782"/>
      <c r="P36" s="797"/>
      <c r="Q36" s="776"/>
      <c r="R36" s="791"/>
      <c r="S36" s="794"/>
      <c r="T36" s="64"/>
      <c r="U36" s="64"/>
      <c r="V36" s="63"/>
      <c r="W36" s="64"/>
      <c r="X36" s="64"/>
      <c r="Y36" s="90"/>
    </row>
    <row r="37" spans="1:25" s="1" customFormat="1" ht="18" x14ac:dyDescent="0.25">
      <c r="A37" s="8"/>
      <c r="B37" s="54" t="s">
        <v>215</v>
      </c>
      <c r="C37" s="136" t="s">
        <v>68</v>
      </c>
      <c r="D37" s="68" t="s">
        <v>69</v>
      </c>
      <c r="E37" s="124" t="s">
        <v>70</v>
      </c>
      <c r="F37" s="124" t="s">
        <v>70</v>
      </c>
      <c r="G37" s="386">
        <f>'[2]FFPREV Fevereiro 2018'!$G$20</f>
        <v>23849.18</v>
      </c>
      <c r="H37" s="141">
        <f t="shared" ref="H37:H40" si="4">G37/$G$91</f>
        <v>2.3287458480808483E-5</v>
      </c>
      <c r="I37" s="363">
        <f>'[2]FFPREV Fevereiro 2018'!$I$20</f>
        <v>4.5999999999999999E-3</v>
      </c>
      <c r="J37" s="111"/>
      <c r="K37" s="403"/>
      <c r="L37" s="381" t="s">
        <v>71</v>
      </c>
      <c r="M37" s="404">
        <f>'[2]FFPREV Fevereiro 2018'!$M$20</f>
        <v>6893035004.8800001</v>
      </c>
      <c r="N37" s="382">
        <f t="shared" si="3"/>
        <v>3.459895384705824E-6</v>
      </c>
      <c r="O37" s="782"/>
      <c r="P37" s="797"/>
      <c r="Q37" s="776"/>
      <c r="R37" s="791"/>
      <c r="S37" s="794"/>
      <c r="T37" s="64"/>
      <c r="U37" s="64"/>
      <c r="V37" s="63"/>
      <c r="W37" s="64"/>
      <c r="X37" s="64"/>
      <c r="Y37" s="90"/>
    </row>
    <row r="38" spans="1:25" s="1" customFormat="1" ht="18" x14ac:dyDescent="0.25">
      <c r="A38" s="8"/>
      <c r="B38" s="54" t="s">
        <v>42</v>
      </c>
      <c r="C38" s="55" t="s">
        <v>43</v>
      </c>
      <c r="D38" s="56" t="s">
        <v>59</v>
      </c>
      <c r="E38" s="109" t="s">
        <v>38</v>
      </c>
      <c r="F38" s="115" t="s">
        <v>39</v>
      </c>
      <c r="G38" s="384">
        <f>'[1]FFIN2 Fevereiro 2018'!$G$28</f>
        <v>52587120.090000004</v>
      </c>
      <c r="H38" s="141">
        <f t="shared" si="4"/>
        <v>5.134853171979769E-2</v>
      </c>
      <c r="I38" s="358">
        <f>'[1]FFIN2 Fevereiro 2018'!$I$28</f>
        <v>5.4749999999999998E-3</v>
      </c>
      <c r="J38" s="111"/>
      <c r="K38" s="147"/>
      <c r="L38" s="118" t="s">
        <v>40</v>
      </c>
      <c r="M38" s="445">
        <f>'[1]FFIN2 Fevereiro 2018'!$M$28</f>
        <v>1077260403.3299999</v>
      </c>
      <c r="N38" s="119">
        <f t="shared" si="3"/>
        <v>4.8815606632754749E-2</v>
      </c>
      <c r="O38" s="782"/>
      <c r="P38" s="797"/>
      <c r="Q38" s="776"/>
      <c r="R38" s="791"/>
      <c r="S38" s="794"/>
      <c r="T38" s="64"/>
      <c r="U38" s="64"/>
      <c r="V38" s="63"/>
      <c r="W38" s="64"/>
      <c r="X38" s="64"/>
      <c r="Y38" s="90"/>
    </row>
    <row r="39" spans="1:25" s="1" customFormat="1" ht="18" x14ac:dyDescent="0.25">
      <c r="A39" s="8"/>
      <c r="B39" s="54" t="s">
        <v>199</v>
      </c>
      <c r="C39" s="197" t="s">
        <v>200</v>
      </c>
      <c r="D39" s="83" t="s">
        <v>201</v>
      </c>
      <c r="E39" s="110" t="s">
        <v>38</v>
      </c>
      <c r="F39" s="110" t="s">
        <v>38</v>
      </c>
      <c r="G39" s="364">
        <f>'[2]FFPREV Fevereiro 2018'!$G$22</f>
        <v>21533342.77</v>
      </c>
      <c r="H39" s="141">
        <f t="shared" si="4"/>
        <v>2.1026166338188254E-2</v>
      </c>
      <c r="I39" s="358">
        <f>'[2]FFPREV Fevereiro 2018'!$I$22</f>
        <v>5.9369999999999996E-3</v>
      </c>
      <c r="J39" s="326"/>
      <c r="K39" s="383"/>
      <c r="L39" s="381" t="s">
        <v>40</v>
      </c>
      <c r="M39" s="431">
        <f>'[2]FFPREV Fevereiro 2018'!$M$22</f>
        <v>2552268155.29</v>
      </c>
      <c r="N39" s="378">
        <f t="shared" si="3"/>
        <v>8.4369437143070446E-3</v>
      </c>
      <c r="O39" s="782"/>
      <c r="P39" s="797"/>
      <c r="Q39" s="776"/>
      <c r="R39" s="791"/>
      <c r="S39" s="794"/>
      <c r="T39" s="64"/>
      <c r="U39" s="64"/>
      <c r="V39" s="63"/>
      <c r="W39" s="64"/>
      <c r="X39" s="64"/>
      <c r="Y39" s="90"/>
    </row>
    <row r="40" spans="1:25" s="1" customFormat="1" ht="18.75" thickBot="1" x14ac:dyDescent="0.3">
      <c r="A40" s="8">
        <v>21</v>
      </c>
      <c r="B40" s="148" t="s">
        <v>75</v>
      </c>
      <c r="C40" s="149"/>
      <c r="D40" s="150" t="s">
        <v>76</v>
      </c>
      <c r="E40" s="124" t="s">
        <v>38</v>
      </c>
      <c r="F40" s="115" t="s">
        <v>39</v>
      </c>
      <c r="G40" s="384">
        <f>'[1]FFIN2 Fevereiro 2018'!$G$29</f>
        <v>16092457.49</v>
      </c>
      <c r="H40" s="141">
        <f t="shared" si="4"/>
        <v>1.571343063587723E-2</v>
      </c>
      <c r="I40" s="358">
        <f>'[1]FFIN2 Fevereiro 2018'!$I$29</f>
        <v>4.7000000000000002E-3</v>
      </c>
      <c r="J40" s="151"/>
      <c r="K40" s="152"/>
      <c r="L40" s="113" t="s">
        <v>71</v>
      </c>
      <c r="M40" s="434">
        <f>'[1]FFIN2 Fevereiro 2018'!$M$29</f>
        <v>190519457.52000001</v>
      </c>
      <c r="N40" s="119">
        <f t="shared" si="3"/>
        <v>8.4466215154484547E-2</v>
      </c>
      <c r="O40" s="782"/>
      <c r="P40" s="797"/>
      <c r="Q40" s="776"/>
      <c r="R40" s="791"/>
      <c r="S40" s="794"/>
      <c r="T40" s="64"/>
      <c r="U40" s="64"/>
      <c r="V40" s="63"/>
      <c r="W40" s="64"/>
      <c r="X40" s="64"/>
      <c r="Y40" s="90"/>
    </row>
    <row r="41" spans="1:25" s="1" customFormat="1" ht="18.75" thickBot="1" x14ac:dyDescent="0.3">
      <c r="A41" s="8">
        <v>22</v>
      </c>
      <c r="B41" s="54" t="s">
        <v>55</v>
      </c>
      <c r="C41" s="98" t="s">
        <v>36</v>
      </c>
      <c r="D41" s="68" t="s">
        <v>79</v>
      </c>
      <c r="E41" s="124" t="s">
        <v>38</v>
      </c>
      <c r="F41" s="124" t="s">
        <v>39</v>
      </c>
      <c r="G41" s="386">
        <f>'[1]FFIN2 Fevereiro 2018'!$G$31</f>
        <v>26517126.02</v>
      </c>
      <c r="H41" s="141">
        <f>G41/$G$91</f>
        <v>2.5892566168778813E-2</v>
      </c>
      <c r="I41" s="358">
        <f>'[1]FFIN2 Fevereiro 2018'!$I$33</f>
        <v>5.4999999999999997E-3</v>
      </c>
      <c r="J41" s="125"/>
      <c r="K41" s="126"/>
      <c r="L41" s="127" t="s">
        <v>80</v>
      </c>
      <c r="M41" s="435">
        <f>'[1]FFIN2 Fevereiro 2018'!$M$31</f>
        <v>1494460540</v>
      </c>
      <c r="N41" s="119">
        <f t="shared" si="3"/>
        <v>1.7743610694465041E-2</v>
      </c>
      <c r="O41" s="782"/>
      <c r="P41" s="797"/>
      <c r="Q41" s="776"/>
      <c r="R41" s="791"/>
      <c r="S41" s="794"/>
      <c r="T41" s="64"/>
      <c r="U41" s="64"/>
      <c r="V41" s="63"/>
      <c r="W41" s="64"/>
      <c r="X41" s="64"/>
      <c r="Y41" s="90"/>
    </row>
    <row r="42" spans="1:25" s="1" customFormat="1" ht="18.75" thickBot="1" x14ac:dyDescent="0.3">
      <c r="A42" s="8"/>
      <c r="B42" s="54" t="s">
        <v>202</v>
      </c>
      <c r="C42" s="98" t="s">
        <v>36</v>
      </c>
      <c r="D42" s="68" t="s">
        <v>79</v>
      </c>
      <c r="E42" s="124" t="s">
        <v>38</v>
      </c>
      <c r="F42" s="124" t="s">
        <v>39</v>
      </c>
      <c r="G42" s="384">
        <f>'[2]FFPREV Fevereiro 2018'!$G$23</f>
        <v>8484543.2100000009</v>
      </c>
      <c r="H42" s="141">
        <f>G42/$G$91</f>
        <v>8.2847061295818359E-3</v>
      </c>
      <c r="I42" s="358">
        <f>'[1]FFIN2 Fevereiro 2018'!$I$31</f>
        <v>7.4000000000000003E-3</v>
      </c>
      <c r="J42" s="125"/>
      <c r="K42" s="380"/>
      <c r="L42" s="381" t="s">
        <v>80</v>
      </c>
      <c r="M42" s="436">
        <f>'[2]FFPREV Fevereiro 2018'!$M$23</f>
        <v>1494460540</v>
      </c>
      <c r="N42" s="382">
        <f t="shared" si="3"/>
        <v>5.6773283622463533E-3</v>
      </c>
      <c r="O42" s="782"/>
      <c r="P42" s="797"/>
      <c r="Q42" s="776"/>
      <c r="R42" s="791"/>
      <c r="S42" s="794"/>
      <c r="T42" s="64"/>
      <c r="U42" s="64"/>
      <c r="V42" s="63"/>
      <c r="W42" s="64"/>
      <c r="X42" s="64"/>
      <c r="Y42" s="90"/>
    </row>
    <row r="43" spans="1:25" s="1" customFormat="1" ht="18.75" thickBot="1" x14ac:dyDescent="0.3">
      <c r="A43" s="8"/>
      <c r="B43" s="54" t="s">
        <v>55</v>
      </c>
      <c r="C43" s="98" t="s">
        <v>77</v>
      </c>
      <c r="D43" s="68" t="s">
        <v>78</v>
      </c>
      <c r="E43" s="124" t="s">
        <v>38</v>
      </c>
      <c r="F43" s="124" t="s">
        <v>38</v>
      </c>
      <c r="G43" s="386">
        <f>'[1]FFIN2 Fevereiro 2018'!$G$30</f>
        <v>6342432.0800000001</v>
      </c>
      <c r="H43" s="141">
        <f>G43/$G$91</f>
        <v>6.1930483031428247E-3</v>
      </c>
      <c r="I43" s="358">
        <f>'[1]FFIN2 Fevereiro 2018'!$I$30</f>
        <v>4.4999999999999997E-3</v>
      </c>
      <c r="J43" s="125"/>
      <c r="K43" s="126"/>
      <c r="L43" s="113" t="s">
        <v>71</v>
      </c>
      <c r="M43" s="435">
        <f>'[1]FFIN2 Fevereiro 2018'!$M$30</f>
        <v>10845052436</v>
      </c>
      <c r="N43" s="119">
        <f t="shared" si="3"/>
        <v>5.8482262925224648E-4</v>
      </c>
      <c r="O43" s="782"/>
      <c r="P43" s="797"/>
      <c r="Q43" s="776"/>
      <c r="R43" s="791"/>
      <c r="S43" s="794"/>
      <c r="T43" s="64"/>
      <c r="U43" s="64"/>
      <c r="V43" s="63"/>
      <c r="W43" s="64"/>
      <c r="X43" s="64"/>
      <c r="Y43" s="90"/>
    </row>
    <row r="44" spans="1:25" s="1" customFormat="1" ht="18" x14ac:dyDescent="0.25">
      <c r="A44" s="8">
        <v>23</v>
      </c>
      <c r="B44" s="54" t="s">
        <v>203</v>
      </c>
      <c r="C44" s="98" t="s">
        <v>204</v>
      </c>
      <c r="D44" s="68" t="s">
        <v>205</v>
      </c>
      <c r="E44" s="124" t="s">
        <v>38</v>
      </c>
      <c r="F44" s="124" t="s">
        <v>38</v>
      </c>
      <c r="G44" s="386">
        <f>'[2]FFPREV Fevereiro 2018'!$G$24</f>
        <v>1065832.96</v>
      </c>
      <c r="H44" s="141">
        <f t="shared" ref="H44:H48" si="5">G44/$G$91</f>
        <v>1.040729316625444E-3</v>
      </c>
      <c r="I44" s="358">
        <f>'[2]FFPREV Fevereiro 2018'!$I$24</f>
        <v>4.4999999999999997E-3</v>
      </c>
      <c r="J44" s="125"/>
      <c r="K44" s="380"/>
      <c r="L44" s="387" t="s">
        <v>71</v>
      </c>
      <c r="M44" s="435">
        <f>'[2]FFPREV Fevereiro 2018'!$M$24</f>
        <v>10845052436</v>
      </c>
      <c r="N44" s="382">
        <f t="shared" si="3"/>
        <v>9.8278267098274443E-5</v>
      </c>
      <c r="O44" s="782"/>
      <c r="P44" s="797"/>
      <c r="Q44" s="776"/>
      <c r="R44" s="791"/>
      <c r="S44" s="794"/>
      <c r="T44" s="64"/>
      <c r="U44" s="64"/>
      <c r="V44" s="63"/>
      <c r="W44" s="64"/>
      <c r="X44" s="64"/>
      <c r="Y44" s="90"/>
    </row>
    <row r="45" spans="1:25" s="1" customFormat="1" ht="18" x14ac:dyDescent="0.25">
      <c r="A45" s="8"/>
      <c r="B45" s="54" t="s">
        <v>198</v>
      </c>
      <c r="C45" s="136" t="s">
        <v>65</v>
      </c>
      <c r="D45" s="137" t="s">
        <v>66</v>
      </c>
      <c r="E45" s="109" t="s">
        <v>38</v>
      </c>
      <c r="F45" s="109" t="s">
        <v>39</v>
      </c>
      <c r="G45" s="357">
        <f>'[2]FFPREV Fevereiro 2018'!$G$21</f>
        <v>8633146.1400000006</v>
      </c>
      <c r="H45" s="141">
        <f t="shared" si="5"/>
        <v>8.4298090036639423E-3</v>
      </c>
      <c r="I45" s="376">
        <f>'[2]FFPREV Fevereiro 2018'!$I$21</f>
        <v>5.7000000000000002E-3</v>
      </c>
      <c r="J45" s="111"/>
      <c r="K45" s="406"/>
      <c r="L45" s="407" t="s">
        <v>53</v>
      </c>
      <c r="M45" s="431">
        <f>'[2]FFPREV Fevereiro 2018'!$M$21</f>
        <v>445176324.69</v>
      </c>
      <c r="N45" s="378">
        <f t="shared" si="3"/>
        <v>1.9392644355046781E-2</v>
      </c>
      <c r="O45" s="782"/>
      <c r="P45" s="797"/>
      <c r="Q45" s="776"/>
      <c r="R45" s="791"/>
      <c r="S45" s="794"/>
      <c r="T45" s="64"/>
      <c r="U45" s="64"/>
      <c r="V45" s="63"/>
      <c r="W45" s="64"/>
      <c r="X45" s="64"/>
      <c r="Y45" s="90"/>
    </row>
    <row r="46" spans="1:25" s="1" customFormat="1" ht="18" x14ac:dyDescent="0.25">
      <c r="A46" s="8"/>
      <c r="B46" s="54" t="s">
        <v>62</v>
      </c>
      <c r="C46" s="136" t="s">
        <v>65</v>
      </c>
      <c r="D46" s="325" t="s">
        <v>66</v>
      </c>
      <c r="E46" s="190" t="s">
        <v>38</v>
      </c>
      <c r="F46" s="190" t="s">
        <v>39</v>
      </c>
      <c r="G46" s="585">
        <f>'[1]FFIN2 Fevereiro 2018'!$G$34</f>
        <v>27374714.859999999</v>
      </c>
      <c r="H46" s="141">
        <f t="shared" si="5"/>
        <v>2.6729956154728212E-2</v>
      </c>
      <c r="I46" s="363">
        <f>'[1]FFIN2 Fevereiro 2018'!$I$34</f>
        <v>5.7000000000000002E-3</v>
      </c>
      <c r="J46" s="111"/>
      <c r="K46" s="440"/>
      <c r="L46" s="127" t="s">
        <v>53</v>
      </c>
      <c r="M46" s="430">
        <f>'[1]FFIN2 Fevereiro 2018'!$M$34</f>
        <v>445176324.69</v>
      </c>
      <c r="N46" s="128">
        <f t="shared" si="3"/>
        <v>6.1491847930283519E-2</v>
      </c>
      <c r="O46" s="782"/>
      <c r="P46" s="797"/>
      <c r="Q46" s="776"/>
      <c r="R46" s="791"/>
      <c r="S46" s="794"/>
      <c r="T46" s="64"/>
      <c r="U46" s="64"/>
      <c r="V46" s="63"/>
      <c r="W46" s="64"/>
      <c r="X46" s="64"/>
      <c r="Y46" s="90"/>
    </row>
    <row r="47" spans="1:25" s="1" customFormat="1" ht="18" x14ac:dyDescent="0.25">
      <c r="A47" s="8"/>
      <c r="B47" s="107" t="s">
        <v>62</v>
      </c>
      <c r="C47" s="136" t="s">
        <v>63</v>
      </c>
      <c r="D47" s="137" t="s">
        <v>64</v>
      </c>
      <c r="E47" s="115" t="s">
        <v>38</v>
      </c>
      <c r="F47" s="115" t="s">
        <v>39</v>
      </c>
      <c r="G47" s="384">
        <f>'[1]FFIN2 Fevereiro 2018'!$G$33</f>
        <v>47953802.200000003</v>
      </c>
      <c r="H47" s="141">
        <f t="shared" si="5"/>
        <v>4.6824342712386863E-2</v>
      </c>
      <c r="I47" s="415">
        <f>'[1]FFIN2 Fevereiro 2018'!$I$33</f>
        <v>5.4999999999999997E-3</v>
      </c>
      <c r="J47" s="200"/>
      <c r="K47" s="439"/>
      <c r="L47" s="118" t="s">
        <v>40</v>
      </c>
      <c r="M47" s="428">
        <f>'[1]FFIN2 Fevereiro 2018'!$M$33</f>
        <v>1445928639.25</v>
      </c>
      <c r="N47" s="119">
        <f t="shared" si="3"/>
        <v>3.3164708754142624E-2</v>
      </c>
      <c r="O47" s="782"/>
      <c r="P47" s="797"/>
      <c r="Q47" s="776"/>
      <c r="R47" s="791"/>
      <c r="S47" s="794"/>
      <c r="T47" s="64"/>
      <c r="U47" s="64"/>
      <c r="V47" s="63"/>
      <c r="W47" s="64"/>
      <c r="X47" s="64"/>
      <c r="Y47" s="90"/>
    </row>
    <row r="48" spans="1:25" s="1" customFormat="1" ht="18.75" thickBot="1" x14ac:dyDescent="0.3">
      <c r="A48" s="8">
        <v>24</v>
      </c>
      <c r="B48" s="148" t="s">
        <v>62</v>
      </c>
      <c r="C48" s="154"/>
      <c r="D48" s="332" t="s">
        <v>81</v>
      </c>
      <c r="E48" s="155" t="s">
        <v>38</v>
      </c>
      <c r="F48" s="155" t="s">
        <v>38</v>
      </c>
      <c r="G48" s="385">
        <f>'[1]FFIN2 Fevereiro 2018'!$G$32</f>
        <v>13795828.65</v>
      </c>
      <c r="H48" s="141">
        <f t="shared" si="5"/>
        <v>1.3470894466611563E-2</v>
      </c>
      <c r="I48" s="433">
        <f>'[1]FFIN2 Fevereiro 2018'!$I$32</f>
        <v>4.8999999999999998E-3</v>
      </c>
      <c r="J48" s="157"/>
      <c r="K48" s="158"/>
      <c r="L48" s="159" t="s">
        <v>71</v>
      </c>
      <c r="M48" s="437">
        <f>'[1]FFIN2 Fevereiro 2018'!$M$32</f>
        <v>9332891240.2199993</v>
      </c>
      <c r="N48" s="161">
        <f t="shared" si="3"/>
        <v>1.4781945160302541E-3</v>
      </c>
      <c r="O48" s="783"/>
      <c r="P48" s="798"/>
      <c r="Q48" s="777"/>
      <c r="R48" s="792"/>
      <c r="S48" s="795"/>
      <c r="T48" s="64"/>
      <c r="U48" s="64"/>
      <c r="V48" s="63"/>
      <c r="W48" s="64"/>
      <c r="X48" s="64"/>
      <c r="Y48" s="90"/>
    </row>
    <row r="49" spans="1:25" s="1" customFormat="1" ht="23.25" thickBot="1" x14ac:dyDescent="0.3">
      <c r="A49" s="8"/>
      <c r="B49" s="343" t="s">
        <v>171</v>
      </c>
      <c r="C49" s="338"/>
      <c r="D49" s="341"/>
      <c r="E49" s="345"/>
      <c r="F49" s="345"/>
      <c r="G49" s="609">
        <v>0</v>
      </c>
      <c r="H49" s="328"/>
      <c r="I49" s="43"/>
      <c r="J49" s="215"/>
      <c r="K49" s="158"/>
      <c r="L49" s="331"/>
      <c r="M49" s="160"/>
      <c r="N49" s="187"/>
      <c r="O49" s="323" t="s">
        <v>60</v>
      </c>
      <c r="P49" s="322">
        <v>0</v>
      </c>
      <c r="Q49" s="172">
        <v>0.4</v>
      </c>
      <c r="R49" s="173">
        <v>0</v>
      </c>
      <c r="S49" s="569" t="s">
        <v>301</v>
      </c>
      <c r="T49" s="64"/>
      <c r="U49" s="64"/>
      <c r="V49" s="63"/>
      <c r="W49" s="64"/>
      <c r="X49" s="64"/>
      <c r="Y49" s="90"/>
    </row>
    <row r="50" spans="1:25" s="1" customFormat="1" ht="18.75" thickBot="1" x14ac:dyDescent="0.3">
      <c r="A50" s="8"/>
      <c r="B50" s="343" t="s">
        <v>173</v>
      </c>
      <c r="C50" s="338"/>
      <c r="D50" s="339"/>
      <c r="E50" s="345"/>
      <c r="F50" s="345"/>
      <c r="G50" s="609">
        <v>0</v>
      </c>
      <c r="H50" s="215"/>
      <c r="I50" s="43"/>
      <c r="J50" s="215"/>
      <c r="K50" s="158"/>
      <c r="L50" s="331"/>
      <c r="M50" s="160"/>
      <c r="N50" s="156"/>
      <c r="O50" s="410" t="s">
        <v>60</v>
      </c>
      <c r="P50" s="322">
        <v>0</v>
      </c>
      <c r="Q50" s="173">
        <v>0.2</v>
      </c>
      <c r="R50" s="96">
        <v>0</v>
      </c>
      <c r="S50" s="174" t="s">
        <v>174</v>
      </c>
      <c r="T50" s="64"/>
      <c r="U50" s="64"/>
      <c r="V50" s="63"/>
      <c r="W50" s="64"/>
      <c r="X50" s="64"/>
      <c r="Y50" s="90"/>
    </row>
    <row r="51" spans="1:25" s="1" customFormat="1" ht="23.25" thickBot="1" x14ac:dyDescent="0.3">
      <c r="A51" s="8"/>
      <c r="B51" s="343" t="s">
        <v>175</v>
      </c>
      <c r="C51" s="338"/>
      <c r="D51" s="339"/>
      <c r="E51" s="345"/>
      <c r="F51" s="345"/>
      <c r="G51" s="611">
        <v>0</v>
      </c>
      <c r="H51" s="215"/>
      <c r="I51" s="43"/>
      <c r="J51" s="215"/>
      <c r="K51" s="158"/>
      <c r="L51" s="331"/>
      <c r="M51" s="160"/>
      <c r="N51" s="156"/>
      <c r="O51" s="311" t="s">
        <v>60</v>
      </c>
      <c r="P51" s="322">
        <v>0</v>
      </c>
      <c r="Q51" s="172">
        <v>0.15</v>
      </c>
      <c r="R51" s="173">
        <v>0</v>
      </c>
      <c r="S51" s="569" t="s">
        <v>302</v>
      </c>
      <c r="T51" s="64"/>
      <c r="U51" s="64"/>
      <c r="V51" s="63"/>
      <c r="W51" s="64"/>
      <c r="X51" s="64"/>
      <c r="Y51" s="90"/>
    </row>
    <row r="52" spans="1:25" s="1" customFormat="1" ht="23.25" thickBot="1" x14ac:dyDescent="0.3">
      <c r="A52" s="8"/>
      <c r="B52" s="343" t="s">
        <v>176</v>
      </c>
      <c r="C52" s="338"/>
      <c r="D52" s="339"/>
      <c r="E52" s="345"/>
      <c r="F52" s="345"/>
      <c r="G52" s="611">
        <v>0</v>
      </c>
      <c r="H52" s="215"/>
      <c r="I52" s="43"/>
      <c r="J52" s="215"/>
      <c r="K52" s="158"/>
      <c r="L52" s="331"/>
      <c r="M52" s="160"/>
      <c r="N52" s="156"/>
      <c r="O52" s="311" t="s">
        <v>60</v>
      </c>
      <c r="P52" s="571">
        <v>0</v>
      </c>
      <c r="Q52" s="95">
        <v>0.15</v>
      </c>
      <c r="R52" s="173">
        <v>0</v>
      </c>
      <c r="S52" s="569" t="s">
        <v>303</v>
      </c>
      <c r="T52" s="64"/>
      <c r="U52" s="64"/>
      <c r="V52" s="63"/>
      <c r="W52" s="64"/>
      <c r="X52" s="64"/>
      <c r="Y52" s="90"/>
    </row>
    <row r="53" spans="1:25" s="53" customFormat="1" ht="18.75" thickBot="1" x14ac:dyDescent="0.25">
      <c r="A53" s="40"/>
      <c r="B53" s="334" t="s">
        <v>177</v>
      </c>
      <c r="C53" s="335"/>
      <c r="D53" s="336"/>
      <c r="E53" s="336"/>
      <c r="F53" s="336"/>
      <c r="G53" s="582">
        <f>SUM(G54:G56)</f>
        <v>7080992.3800000008</v>
      </c>
      <c r="H53" s="43">
        <f>G53/$G$91</f>
        <v>6.9142132371918553E-3</v>
      </c>
      <c r="I53" s="91"/>
      <c r="J53" s="44"/>
      <c r="K53" s="44"/>
      <c r="L53" s="162"/>
      <c r="M53" s="163"/>
      <c r="N53" s="164"/>
      <c r="O53" s="165"/>
      <c r="P53" s="166"/>
      <c r="Q53" s="617"/>
      <c r="R53" s="618"/>
      <c r="S53" s="133"/>
      <c r="T53" s="52"/>
      <c r="U53" s="52"/>
      <c r="V53" s="52"/>
      <c r="W53" s="52"/>
      <c r="X53" s="52"/>
      <c r="Y53" s="52"/>
    </row>
    <row r="54" spans="1:25" s="1" customFormat="1" ht="18.75" thickBot="1" x14ac:dyDescent="0.3">
      <c r="A54" s="8">
        <v>25</v>
      </c>
      <c r="B54" s="66" t="s">
        <v>82</v>
      </c>
      <c r="C54" s="108"/>
      <c r="D54" s="134" t="s">
        <v>83</v>
      </c>
      <c r="E54" s="438" t="s">
        <v>84</v>
      </c>
      <c r="F54" s="438" t="s">
        <v>85</v>
      </c>
      <c r="G54" s="588">
        <v>6967841.0700000003</v>
      </c>
      <c r="H54" s="191">
        <f>G54/$G$91</f>
        <v>6.8037269884539909E-3</v>
      </c>
      <c r="I54" s="426">
        <v>5.4000000000000003E-3</v>
      </c>
      <c r="J54" s="200"/>
      <c r="K54" s="439"/>
      <c r="L54" s="113" t="s">
        <v>71</v>
      </c>
      <c r="M54" s="444">
        <f>'[1]FFIN2 Fevereiro 2018'!$M$40</f>
        <v>503124363</v>
      </c>
      <c r="N54" s="441">
        <f>G54/M54</f>
        <v>1.3849142642293394E-2</v>
      </c>
      <c r="O54" s="799" t="s">
        <v>60</v>
      </c>
      <c r="P54" s="796">
        <f>SUM(G54:G56)/G91</f>
        <v>6.9142132371918553E-3</v>
      </c>
      <c r="Q54" s="790">
        <v>0.05</v>
      </c>
      <c r="R54" s="778">
        <v>0.02</v>
      </c>
      <c r="S54" s="793" t="s">
        <v>304</v>
      </c>
      <c r="T54" s="64"/>
      <c r="U54" s="64"/>
      <c r="V54" s="64"/>
      <c r="W54" s="64"/>
      <c r="X54" s="63"/>
      <c r="Y54" s="65"/>
    </row>
    <row r="55" spans="1:25" s="1" customFormat="1" ht="15.75" customHeight="1" x14ac:dyDescent="0.25">
      <c r="A55" s="8">
        <v>26</v>
      </c>
      <c r="B55" s="54" t="s">
        <v>86</v>
      </c>
      <c r="C55" s="98" t="s">
        <v>87</v>
      </c>
      <c r="D55" s="56" t="s">
        <v>88</v>
      </c>
      <c r="E55" s="109" t="s">
        <v>89</v>
      </c>
      <c r="F55" s="109" t="s">
        <v>89</v>
      </c>
      <c r="G55" s="584">
        <f>'[1]FFIN2 Fevereiro 2018'!$G$41</f>
        <v>39744.82</v>
      </c>
      <c r="H55" s="191">
        <f>G55/$G$91</f>
        <v>3.880870728373917E-5</v>
      </c>
      <c r="I55" s="442">
        <f>'[1]FFIN2 Fevereiro 2018'!$I$41</f>
        <v>-7.17E-2</v>
      </c>
      <c r="J55" s="111"/>
      <c r="K55" s="440"/>
      <c r="L55" s="118" t="s">
        <v>71</v>
      </c>
      <c r="M55" s="445">
        <f>'[1]FFIN2 Fevereiro 2018'!$M$41</f>
        <v>2143264.92</v>
      </c>
      <c r="N55" s="119">
        <f>G55/M55</f>
        <v>1.8544053807403333E-2</v>
      </c>
      <c r="O55" s="800"/>
      <c r="P55" s="797"/>
      <c r="Q55" s="791"/>
      <c r="R55" s="779"/>
      <c r="S55" s="794"/>
      <c r="T55" s="64"/>
      <c r="U55" s="64"/>
      <c r="V55" s="63"/>
      <c r="W55" s="64"/>
      <c r="X55" s="63"/>
      <c r="Y55" s="65"/>
    </row>
    <row r="56" spans="1:25" s="1" customFormat="1" ht="18.75" thickBot="1" x14ac:dyDescent="0.3">
      <c r="A56" s="8">
        <v>27</v>
      </c>
      <c r="B56" s="167" t="s">
        <v>90</v>
      </c>
      <c r="C56" s="108"/>
      <c r="D56" s="87" t="s">
        <v>91</v>
      </c>
      <c r="E56" s="168" t="s">
        <v>89</v>
      </c>
      <c r="F56" s="168" t="s">
        <v>89</v>
      </c>
      <c r="G56" s="589">
        <f>'[1]FFIN2 Fevereiro 2018'!$G$42</f>
        <v>73406.490000000005</v>
      </c>
      <c r="H56" s="191">
        <f>G56/$G$91</f>
        <v>7.1677541454124766E-5</v>
      </c>
      <c r="I56" s="443">
        <f>'[1]FFIN2 Fevereiro 2018'!$I$42</f>
        <v>-4.0399999999999998E-2</v>
      </c>
      <c r="J56" s="138"/>
      <c r="K56" s="175"/>
      <c r="L56" s="159" t="s">
        <v>71</v>
      </c>
      <c r="M56" s="446">
        <f>'[1]FFIN2 Fevereiro 2018'!$M$42</f>
        <v>5017508.99</v>
      </c>
      <c r="N56" s="161">
        <f>G56/M56</f>
        <v>1.4630066462521674E-2</v>
      </c>
      <c r="O56" s="801"/>
      <c r="P56" s="798"/>
      <c r="Q56" s="792"/>
      <c r="R56" s="780"/>
      <c r="S56" s="795"/>
      <c r="T56" s="64"/>
      <c r="U56" s="64"/>
      <c r="V56" s="63"/>
      <c r="W56" s="64"/>
      <c r="X56" s="63"/>
      <c r="Y56" s="65"/>
    </row>
    <row r="57" spans="1:25" s="1" customFormat="1" ht="23.25" thickBot="1" x14ac:dyDescent="0.3">
      <c r="A57" s="8"/>
      <c r="B57" s="346" t="s">
        <v>178</v>
      </c>
      <c r="C57" s="338"/>
      <c r="D57" s="347"/>
      <c r="E57" s="345"/>
      <c r="F57" s="345"/>
      <c r="G57" s="625">
        <v>0</v>
      </c>
      <c r="H57" s="215"/>
      <c r="I57" s="333"/>
      <c r="J57" s="215"/>
      <c r="K57" s="158"/>
      <c r="L57" s="331"/>
      <c r="M57" s="160"/>
      <c r="N57" s="187"/>
      <c r="O57" s="327" t="s">
        <v>60</v>
      </c>
      <c r="P57" s="322">
        <v>0</v>
      </c>
      <c r="Q57" s="172">
        <v>0.05</v>
      </c>
      <c r="R57" s="173">
        <v>0.01</v>
      </c>
      <c r="S57" s="622" t="s">
        <v>305</v>
      </c>
      <c r="T57" s="64"/>
      <c r="U57" s="64"/>
      <c r="V57" s="63"/>
      <c r="W57" s="64"/>
      <c r="X57" s="63"/>
      <c r="Y57" s="65"/>
    </row>
    <row r="58" spans="1:25" s="1" customFormat="1" ht="23.25" thickBot="1" x14ac:dyDescent="0.3">
      <c r="A58" s="8"/>
      <c r="B58" s="346" t="s">
        <v>179</v>
      </c>
      <c r="C58" s="338"/>
      <c r="D58" s="347"/>
      <c r="E58" s="345"/>
      <c r="F58" s="345"/>
      <c r="G58" s="625">
        <v>0</v>
      </c>
      <c r="H58" s="215"/>
      <c r="I58" s="333"/>
      <c r="J58" s="215"/>
      <c r="K58" s="158"/>
      <c r="L58" s="331"/>
      <c r="M58" s="160"/>
      <c r="N58" s="215"/>
      <c r="O58" s="327" t="s">
        <v>60</v>
      </c>
      <c r="P58" s="322">
        <v>0</v>
      </c>
      <c r="Q58" s="172">
        <v>0.05</v>
      </c>
      <c r="R58" s="173">
        <v>0</v>
      </c>
      <c r="S58" s="622" t="s">
        <v>306</v>
      </c>
      <c r="T58" s="64"/>
      <c r="U58" s="64"/>
      <c r="V58" s="63"/>
      <c r="W58" s="64"/>
      <c r="X58" s="63"/>
      <c r="Y58" s="65"/>
    </row>
    <row r="59" spans="1:25" s="53" customFormat="1" ht="18.75" thickBot="1" x14ac:dyDescent="0.25">
      <c r="A59" s="40"/>
      <c r="B59" s="334" t="s">
        <v>180</v>
      </c>
      <c r="C59" s="335"/>
      <c r="D59" s="336"/>
      <c r="E59" s="336"/>
      <c r="F59" s="336"/>
      <c r="G59" s="582">
        <f>SUM(G60:G62)</f>
        <v>58667382.390000001</v>
      </c>
      <c r="H59" s="43">
        <f t="shared" ref="H59:H66" si="6">G59/$G$91</f>
        <v>5.7285585147365224E-2</v>
      </c>
      <c r="I59" s="91"/>
      <c r="J59" s="44"/>
      <c r="K59" s="44"/>
      <c r="L59" s="44"/>
      <c r="M59" s="130"/>
      <c r="N59" s="94"/>
      <c r="O59" s="42"/>
      <c r="P59" s="176">
        <f>SUM((G4+G15+G31+G33+G53)/G91)*100</f>
        <v>81.890513514275298</v>
      </c>
      <c r="Q59" s="49"/>
      <c r="R59" s="617"/>
      <c r="S59" s="140"/>
      <c r="T59" s="52"/>
      <c r="U59" s="52"/>
      <c r="V59" s="52"/>
      <c r="W59" s="52"/>
      <c r="X59" s="52"/>
      <c r="Y59" s="52"/>
    </row>
    <row r="60" spans="1:25" s="1" customFormat="1" ht="18" customHeight="1" x14ac:dyDescent="0.25">
      <c r="A60" s="8">
        <v>28</v>
      </c>
      <c r="B60" s="177" t="s">
        <v>55</v>
      </c>
      <c r="C60" s="178"/>
      <c r="D60" s="179" t="s">
        <v>92</v>
      </c>
      <c r="E60" s="180" t="s">
        <v>93</v>
      </c>
      <c r="F60" s="180" t="s">
        <v>94</v>
      </c>
      <c r="G60" s="457">
        <f>'[1]FFIN2 Fevereiro 2018'!$G$46</f>
        <v>39539232.950000003</v>
      </c>
      <c r="H60" s="78">
        <f t="shared" si="6"/>
        <v>3.8607962440894816E-2</v>
      </c>
      <c r="I60" s="447">
        <f>'[1]FFIN2 Fevereiro 2018'!$I$46</f>
        <v>1.17E-2</v>
      </c>
      <c r="J60" s="103"/>
      <c r="K60" s="112"/>
      <c r="L60" s="127" t="s">
        <v>95</v>
      </c>
      <c r="M60" s="449">
        <f>'[1]FFIN2 Fevereiro 2018'!$M$46</f>
        <v>765238488.5</v>
      </c>
      <c r="N60" s="135">
        <f t="shared" ref="N60:N62" si="7">G60/M60</f>
        <v>5.1669163985078363E-2</v>
      </c>
      <c r="O60" s="818" t="s">
        <v>96</v>
      </c>
      <c r="P60" s="805">
        <f>(SUM(G60:G62)/G91)</f>
        <v>5.7285585147365224E-2</v>
      </c>
      <c r="Q60" s="790">
        <v>0.3</v>
      </c>
      <c r="R60" s="787">
        <v>0.15</v>
      </c>
      <c r="S60" s="793" t="s">
        <v>307</v>
      </c>
      <c r="T60" s="64"/>
      <c r="U60" s="64"/>
      <c r="V60" s="63"/>
      <c r="W60" s="64"/>
      <c r="X60" s="64"/>
      <c r="Y60" s="182"/>
    </row>
    <row r="61" spans="1:25" s="1" customFormat="1" ht="18" x14ac:dyDescent="0.25">
      <c r="A61" s="8">
        <v>29</v>
      </c>
      <c r="B61" s="54" t="s">
        <v>97</v>
      </c>
      <c r="C61" s="178"/>
      <c r="D61" s="68" t="s">
        <v>98</v>
      </c>
      <c r="E61" s="115" t="s">
        <v>39</v>
      </c>
      <c r="F61" s="115" t="s">
        <v>49</v>
      </c>
      <c r="G61" s="584">
        <f>'[1]FFIN2 Fevereiro 2018'!$G$47</f>
        <v>0</v>
      </c>
      <c r="H61" s="78">
        <f t="shared" si="6"/>
        <v>0</v>
      </c>
      <c r="I61" s="448">
        <f>'[1]FFIN2 Fevereiro 2018'!$I$47</f>
        <v>0</v>
      </c>
      <c r="J61" s="111"/>
      <c r="K61" s="183"/>
      <c r="L61" s="118" t="s">
        <v>99</v>
      </c>
      <c r="M61" s="450">
        <f>'[1]FFIN2 Fevereiro 2018'!$M$47</f>
        <v>72459141.430000007</v>
      </c>
      <c r="N61" s="119">
        <f t="shared" si="7"/>
        <v>0</v>
      </c>
      <c r="O61" s="819"/>
      <c r="P61" s="806"/>
      <c r="Q61" s="791"/>
      <c r="R61" s="788"/>
      <c r="S61" s="794"/>
      <c r="T61" s="64"/>
      <c r="U61" s="64"/>
      <c r="V61" s="63"/>
      <c r="W61" s="64"/>
      <c r="X61" s="64"/>
      <c r="Y61" s="182"/>
    </row>
    <row r="62" spans="1:25" s="1" customFormat="1" ht="16.5" thickBot="1" x14ac:dyDescent="0.3">
      <c r="A62" s="8"/>
      <c r="B62" s="209" t="s">
        <v>116</v>
      </c>
      <c r="C62" s="87" t="s">
        <v>100</v>
      </c>
      <c r="D62" s="633" t="s">
        <v>320</v>
      </c>
      <c r="E62" s="110" t="s">
        <v>39</v>
      </c>
      <c r="F62" s="110" t="s">
        <v>94</v>
      </c>
      <c r="G62" s="639">
        <f>'[1]FFIN2 Fevereiro 2018'!$G$48</f>
        <v>19128149.440000001</v>
      </c>
      <c r="H62" s="78">
        <f t="shared" si="6"/>
        <v>1.8677622706470415E-2</v>
      </c>
      <c r="I62" s="367">
        <f>'[1]FFIN2 Fevereiro 2018'!$I$48</f>
        <v>5.9999999999999995E-4</v>
      </c>
      <c r="J62" s="146"/>
      <c r="K62" s="405"/>
      <c r="L62" s="211" t="s">
        <v>321</v>
      </c>
      <c r="M62" s="640">
        <f>'[1]FFIN2 Fevereiro 2018'!$M$48</f>
        <v>262043490.47999999</v>
      </c>
      <c r="N62" s="378">
        <f t="shared" si="7"/>
        <v>7.2996087042505348E-2</v>
      </c>
      <c r="O62" s="820"/>
      <c r="P62" s="807"/>
      <c r="Q62" s="792"/>
      <c r="R62" s="789"/>
      <c r="S62" s="795"/>
      <c r="T62" s="64"/>
      <c r="U62" s="64"/>
      <c r="V62" s="63"/>
      <c r="W62" s="64"/>
      <c r="X62" s="64"/>
      <c r="Y62" s="182"/>
    </row>
    <row r="63" spans="1:25" s="1" customFormat="1" ht="18.75" thickBot="1" x14ac:dyDescent="0.3">
      <c r="A63" s="185"/>
      <c r="B63" s="334" t="s">
        <v>182</v>
      </c>
      <c r="C63" s="335"/>
      <c r="D63" s="336"/>
      <c r="E63" s="336"/>
      <c r="F63" s="336"/>
      <c r="G63" s="582">
        <f>SUM(G64)</f>
        <v>0</v>
      </c>
      <c r="H63" s="187">
        <f t="shared" si="6"/>
        <v>0</v>
      </c>
      <c r="I63" s="91"/>
      <c r="J63" s="44"/>
      <c r="K63" s="44"/>
      <c r="L63" s="44"/>
      <c r="M63" s="130"/>
      <c r="N63" s="131"/>
      <c r="O63" s="42"/>
      <c r="P63" s="166"/>
      <c r="Q63" s="49"/>
      <c r="R63" s="617"/>
      <c r="S63" s="140"/>
      <c r="T63" s="64"/>
      <c r="U63" s="64"/>
      <c r="V63" s="63"/>
      <c r="W63" s="64"/>
      <c r="X63" s="64"/>
      <c r="Y63" s="182"/>
    </row>
    <row r="64" spans="1:25" s="1" customFormat="1" ht="23.25" thickBot="1" x14ac:dyDescent="0.3">
      <c r="A64" s="185">
        <v>31</v>
      </c>
      <c r="B64" s="188" t="s">
        <v>50</v>
      </c>
      <c r="C64" s="108"/>
      <c r="D64" s="189" t="s">
        <v>101</v>
      </c>
      <c r="E64" s="190" t="s">
        <v>39</v>
      </c>
      <c r="F64" s="115" t="s">
        <v>49</v>
      </c>
      <c r="G64" s="627">
        <f>'[1]FFIN2 Fevereiro 2018'!$G$50</f>
        <v>0</v>
      </c>
      <c r="H64" s="191">
        <f t="shared" si="6"/>
        <v>0</v>
      </c>
      <c r="I64" s="71">
        <f>'[1]FFIN2 Fevereiro 2018'!$I$50</f>
        <v>0</v>
      </c>
      <c r="J64" s="146"/>
      <c r="K64" s="192"/>
      <c r="L64" s="127" t="s">
        <v>95</v>
      </c>
      <c r="M64" s="626">
        <f>'[1]FFIN2 Fevereiro 2018'!$M$50</f>
        <v>0</v>
      </c>
      <c r="N64" s="441" t="e">
        <f>G64/M64</f>
        <v>#DIV/0!</v>
      </c>
      <c r="O64" s="193" t="s">
        <v>102</v>
      </c>
      <c r="P64" s="194">
        <f>G64/G91</f>
        <v>0</v>
      </c>
      <c r="Q64" s="195">
        <v>0.3</v>
      </c>
      <c r="R64" s="196">
        <v>0.02</v>
      </c>
      <c r="S64" s="622" t="s">
        <v>308</v>
      </c>
      <c r="T64" s="64"/>
      <c r="U64" s="64"/>
      <c r="V64" s="63"/>
      <c r="W64" s="64"/>
      <c r="X64" s="64"/>
      <c r="Y64" s="182"/>
    </row>
    <row r="65" spans="1:25" s="53" customFormat="1" ht="18.75" thickBot="1" x14ac:dyDescent="0.25">
      <c r="A65" s="40"/>
      <c r="B65" s="334" t="s">
        <v>181</v>
      </c>
      <c r="C65" s="335"/>
      <c r="D65" s="336"/>
      <c r="E65" s="336"/>
      <c r="F65" s="336"/>
      <c r="G65" s="582">
        <f>SUM(G66:G73)</f>
        <v>80315764.870000005</v>
      </c>
      <c r="H65" s="43">
        <f t="shared" si="6"/>
        <v>7.8424081656664993E-2</v>
      </c>
      <c r="I65" s="91"/>
      <c r="J65" s="29"/>
      <c r="K65" s="44"/>
      <c r="L65" s="44"/>
      <c r="M65" s="130"/>
      <c r="N65" s="131"/>
      <c r="O65" s="165"/>
      <c r="P65" s="617"/>
      <c r="Q65" s="49"/>
      <c r="R65" s="617"/>
      <c r="S65" s="140"/>
      <c r="T65" s="52"/>
      <c r="U65" s="52"/>
      <c r="V65" s="52"/>
      <c r="W65" s="52"/>
      <c r="X65" s="52"/>
      <c r="Y65" s="52"/>
    </row>
    <row r="66" spans="1:25" s="1" customFormat="1" ht="18" x14ac:dyDescent="0.25">
      <c r="A66" s="8">
        <v>34</v>
      </c>
      <c r="B66" s="54" t="s">
        <v>107</v>
      </c>
      <c r="C66" s="197"/>
      <c r="D66" s="68" t="s">
        <v>108</v>
      </c>
      <c r="E66" s="124" t="s">
        <v>39</v>
      </c>
      <c r="F66" s="124" t="s">
        <v>49</v>
      </c>
      <c r="G66" s="384">
        <f>'[1]FFIN2 Fevereiro 2018'!$G$52</f>
        <v>10102010.560000001</v>
      </c>
      <c r="H66" s="78">
        <f t="shared" si="6"/>
        <v>9.8640771501866675E-3</v>
      </c>
      <c r="I66" s="376">
        <f>'[1]FFIN2 Fevereiro 2018'!$I$52</f>
        <v>2.3999999999999998E-3</v>
      </c>
      <c r="J66" s="181"/>
      <c r="K66" s="152"/>
      <c r="L66" s="113" t="s">
        <v>95</v>
      </c>
      <c r="M66" s="455">
        <f>'[1]FFIN2 Fevereiro 2018'!$M$52</f>
        <v>221313077</v>
      </c>
      <c r="N66" s="78">
        <f>G66/M66</f>
        <v>4.5645791459489764E-2</v>
      </c>
      <c r="O66" s="802" t="s">
        <v>102</v>
      </c>
      <c r="P66" s="785">
        <f>SUM(G66:G73)/G91</f>
        <v>7.8424081656664993E-2</v>
      </c>
      <c r="Q66" s="790"/>
      <c r="R66" s="791"/>
      <c r="S66" s="816" t="s">
        <v>309</v>
      </c>
      <c r="T66" s="634"/>
      <c r="U66" s="64"/>
      <c r="V66" s="63"/>
      <c r="W66" s="64"/>
      <c r="X66" s="64"/>
      <c r="Y66" s="182"/>
    </row>
    <row r="67" spans="1:25" s="1" customFormat="1" ht="19.5" thickBot="1" x14ac:dyDescent="0.3">
      <c r="A67" s="8"/>
      <c r="B67" s="107" t="s">
        <v>113</v>
      </c>
      <c r="C67" s="67" t="s">
        <v>114</v>
      </c>
      <c r="D67" s="68" t="s">
        <v>115</v>
      </c>
      <c r="E67" s="124" t="s">
        <v>39</v>
      </c>
      <c r="F67" s="124" t="s">
        <v>49</v>
      </c>
      <c r="G67" s="364">
        <f>'[1]FFIN2 Fevereiro 2018'!$G$53</f>
        <v>23412838.68</v>
      </c>
      <c r="H67" s="78">
        <f t="shared" ref="H67:H71" si="8">G67/$G$91</f>
        <v>2.2861394340533588E-2</v>
      </c>
      <c r="I67" s="358">
        <f>'[1]FFIN2 Fevereiro 2018'!$I$53</f>
        <v>3.1899999999999998E-2</v>
      </c>
      <c r="J67" s="181"/>
      <c r="K67" s="206"/>
      <c r="L67" s="113" t="s">
        <v>95</v>
      </c>
      <c r="M67" s="451">
        <f>'[1]FFIN2 Fevereiro 2018'!$M$53</f>
        <v>198821370.77000001</v>
      </c>
      <c r="N67" s="70">
        <f t="shared" ref="N67:N71" si="9">G67/M67</f>
        <v>0.11775815944395825</v>
      </c>
      <c r="O67" s="802"/>
      <c r="P67" s="785"/>
      <c r="Q67" s="791"/>
      <c r="R67" s="791"/>
      <c r="S67" s="817"/>
      <c r="T67" s="634"/>
      <c r="U67" s="64"/>
      <c r="V67" s="63"/>
      <c r="W67" s="64"/>
      <c r="X67" s="64"/>
      <c r="Y67" s="182"/>
    </row>
    <row r="68" spans="1:25" s="1" customFormat="1" ht="18" x14ac:dyDescent="0.25">
      <c r="A68" s="8"/>
      <c r="B68" s="54" t="s">
        <v>75</v>
      </c>
      <c r="C68" s="197"/>
      <c r="D68" s="68" t="s">
        <v>103</v>
      </c>
      <c r="E68" s="124" t="s">
        <v>104</v>
      </c>
      <c r="F68" s="124" t="s">
        <v>105</v>
      </c>
      <c r="G68" s="384">
        <f>'[1]FFIN2 Fevereiro 2018'!$G$54</f>
        <v>20948937.539999999</v>
      </c>
      <c r="H68" s="78">
        <f t="shared" si="8"/>
        <v>2.0455525648252901E-2</v>
      </c>
      <c r="I68" s="376">
        <f>'[1]FFIN2 Fevereiro 2018'!$I$54</f>
        <v>1.49E-2</v>
      </c>
      <c r="J68" s="151"/>
      <c r="K68" s="198"/>
      <c r="L68" s="118" t="s">
        <v>95</v>
      </c>
      <c r="M68" s="452">
        <f>'[1]FFIN2 Fevereiro 2018'!$M$54</f>
        <v>534648785.19999999</v>
      </c>
      <c r="N68" s="78">
        <f t="shared" si="9"/>
        <v>3.9182615054784938E-2</v>
      </c>
      <c r="O68" s="802"/>
      <c r="P68" s="785"/>
      <c r="Q68" s="791"/>
      <c r="R68" s="791"/>
      <c r="S68" s="817"/>
      <c r="T68" s="634"/>
      <c r="U68" s="64"/>
      <c r="V68" s="63"/>
      <c r="W68" s="64"/>
      <c r="X68" s="64"/>
      <c r="Y68" s="182"/>
    </row>
    <row r="69" spans="1:25" s="1" customFormat="1" ht="18" x14ac:dyDescent="0.25">
      <c r="A69" s="8"/>
      <c r="B69" s="54" t="s">
        <v>75</v>
      </c>
      <c r="C69" s="197"/>
      <c r="D69" s="68" t="s">
        <v>106</v>
      </c>
      <c r="E69" s="124" t="s">
        <v>39</v>
      </c>
      <c r="F69" s="124" t="s">
        <v>49</v>
      </c>
      <c r="G69" s="384">
        <f>'[1]FFIN2 Fevereiro 2018'!$G$55</f>
        <v>2784565.2</v>
      </c>
      <c r="H69" s="78">
        <f t="shared" si="8"/>
        <v>2.7189801277068717E-3</v>
      </c>
      <c r="I69" s="376">
        <f>'[1]FFIN2 Fevereiro 2018'!$I$55</f>
        <v>1.9800000000000002E-2</v>
      </c>
      <c r="J69" s="200"/>
      <c r="K69" s="201"/>
      <c r="L69" s="202" t="s">
        <v>95</v>
      </c>
      <c r="M69" s="434">
        <f>'[1]FFIN2 Fevereiro 2018'!$M$55</f>
        <v>284993022</v>
      </c>
      <c r="N69" s="119">
        <f t="shared" si="9"/>
        <v>9.7706434370172061E-3</v>
      </c>
      <c r="O69" s="802"/>
      <c r="P69" s="785"/>
      <c r="Q69" s="791"/>
      <c r="R69" s="791"/>
      <c r="S69" s="817"/>
      <c r="T69" s="634"/>
      <c r="U69" s="64"/>
      <c r="V69" s="63"/>
      <c r="W69" s="64"/>
      <c r="X69" s="64"/>
      <c r="Y69" s="182"/>
    </row>
    <row r="70" spans="1:25" s="1" customFormat="1" ht="18" x14ac:dyDescent="0.25">
      <c r="A70" s="8"/>
      <c r="B70" s="54" t="s">
        <v>206</v>
      </c>
      <c r="C70" s="197"/>
      <c r="D70" s="68" t="s">
        <v>103</v>
      </c>
      <c r="E70" s="124" t="s">
        <v>104</v>
      </c>
      <c r="F70" s="124" t="s">
        <v>105</v>
      </c>
      <c r="G70" s="384">
        <f>'[2]FFPREV Fevereiro 2018'!$G$35</f>
        <v>7306582.2800000003</v>
      </c>
      <c r="H70" s="78">
        <f t="shared" si="8"/>
        <v>7.1344898014150167E-3</v>
      </c>
      <c r="I70" s="376">
        <f>'[2]FFPREV Fevereiro 2018'!$I$35</f>
        <v>1.49E-2</v>
      </c>
      <c r="J70" s="181"/>
      <c r="K70" s="388"/>
      <c r="L70" s="387" t="s">
        <v>207</v>
      </c>
      <c r="M70" s="453">
        <f>'[2]FFPREV Fevereiro 2018'!$M$35</f>
        <v>534648785.19999999</v>
      </c>
      <c r="N70" s="389">
        <f t="shared" si="9"/>
        <v>1.3666134633162541E-2</v>
      </c>
      <c r="O70" s="802"/>
      <c r="P70" s="785"/>
      <c r="Q70" s="791"/>
      <c r="R70" s="791"/>
      <c r="S70" s="817"/>
      <c r="T70" s="634"/>
      <c r="U70" s="64"/>
      <c r="V70" s="63"/>
      <c r="W70" s="64"/>
      <c r="X70" s="64"/>
      <c r="Y70" s="182"/>
    </row>
    <row r="71" spans="1:25" s="1" customFormat="1" ht="18" x14ac:dyDescent="0.25">
      <c r="A71" s="8"/>
      <c r="B71" s="54" t="s">
        <v>206</v>
      </c>
      <c r="C71" s="197"/>
      <c r="D71" s="68" t="s">
        <v>208</v>
      </c>
      <c r="E71" s="124" t="s">
        <v>39</v>
      </c>
      <c r="F71" s="124" t="s">
        <v>49</v>
      </c>
      <c r="G71" s="384">
        <f>'[2]FFPREV Fevereiro 2018'!$G$36</f>
        <v>4025416.99</v>
      </c>
      <c r="H71" s="78">
        <f t="shared" si="8"/>
        <v>3.930606042747216E-3</v>
      </c>
      <c r="I71" s="376">
        <f>'[2]FFPREV Fevereiro 2018'!$I$36</f>
        <v>1.9800000000000002E-2</v>
      </c>
      <c r="J71" s="181"/>
      <c r="K71" s="390"/>
      <c r="L71" s="387" t="s">
        <v>95</v>
      </c>
      <c r="M71" s="453">
        <f>'[2]FFPREV Fevereiro 2018'!$M$36</f>
        <v>284993022.16000003</v>
      </c>
      <c r="N71" s="389">
        <f t="shared" si="9"/>
        <v>1.4124615962492097E-2</v>
      </c>
      <c r="O71" s="802"/>
      <c r="P71" s="785"/>
      <c r="Q71" s="791"/>
      <c r="R71" s="791"/>
      <c r="S71" s="817"/>
      <c r="T71" s="634"/>
      <c r="U71" s="64"/>
      <c r="V71" s="63"/>
      <c r="W71" s="64"/>
      <c r="X71" s="64"/>
      <c r="Y71" s="182"/>
    </row>
    <row r="72" spans="1:25" s="1" customFormat="1" ht="18.75" thickBot="1" x14ac:dyDescent="0.3">
      <c r="A72" s="8">
        <v>35</v>
      </c>
      <c r="B72" s="177" t="s">
        <v>50</v>
      </c>
      <c r="C72" s="108"/>
      <c r="D72" s="184" t="s">
        <v>109</v>
      </c>
      <c r="E72" s="110" t="s">
        <v>110</v>
      </c>
      <c r="F72" s="110" t="s">
        <v>111</v>
      </c>
      <c r="G72" s="591">
        <f>'[1]FFIN2 Fevereiro 2018'!$G$56</f>
        <v>7239744.7199999997</v>
      </c>
      <c r="H72" s="78">
        <f>G72/$G$91</f>
        <v>7.0692264714615942E-3</v>
      </c>
      <c r="I72" s="358">
        <f>'[1]FFIN2 Fevereiro 2018'!$I$56</f>
        <v>3.3999999999999998E-3</v>
      </c>
      <c r="J72" s="116"/>
      <c r="K72" s="198"/>
      <c r="L72" s="113" t="s">
        <v>112</v>
      </c>
      <c r="M72" s="452">
        <f>'[1]FFIN2 Fevereiro 2018'!$M$56</f>
        <v>370078348.39999998</v>
      </c>
      <c r="N72" s="204">
        <f>G72/M72</f>
        <v>1.9562735164865432E-2</v>
      </c>
      <c r="O72" s="802"/>
      <c r="P72" s="785"/>
      <c r="Q72" s="791"/>
      <c r="R72" s="791"/>
      <c r="S72" s="817"/>
      <c r="T72" s="635"/>
      <c r="U72" s="64"/>
      <c r="V72" s="63"/>
      <c r="W72" s="64"/>
      <c r="X72" s="64"/>
      <c r="Y72" s="182"/>
    </row>
    <row r="73" spans="1:25" s="1" customFormat="1" ht="18.75" thickBot="1" x14ac:dyDescent="0.3">
      <c r="A73" s="8">
        <v>36</v>
      </c>
      <c r="B73" s="391" t="s">
        <v>209</v>
      </c>
      <c r="C73" s="108"/>
      <c r="D73" s="88" t="s">
        <v>210</v>
      </c>
      <c r="E73" s="180" t="s">
        <v>39</v>
      </c>
      <c r="F73" s="155" t="s">
        <v>49</v>
      </c>
      <c r="G73" s="454">
        <f>'[2]FFPREV Fevereiro 2018'!$G$37</f>
        <v>4495668.9000000004</v>
      </c>
      <c r="H73" s="78">
        <f>G73/$G$91</f>
        <v>4.3897820743611293E-3</v>
      </c>
      <c r="I73" s="367">
        <f>'[2]FFPREV Fevereiro 2018'!$I$37</f>
        <v>-7.1000000000000004E-3</v>
      </c>
      <c r="J73" s="181"/>
      <c r="K73" s="324"/>
      <c r="L73" s="392" t="s">
        <v>211</v>
      </c>
      <c r="M73" s="456">
        <f>'[2]FFPREV Fevereiro 2018'!$M$35</f>
        <v>534648785.19999999</v>
      </c>
      <c r="N73" s="70">
        <f>G73/M73</f>
        <v>8.4086395114846696E-3</v>
      </c>
      <c r="O73" s="802"/>
      <c r="P73" s="785"/>
      <c r="Q73" s="792"/>
      <c r="R73" s="791"/>
      <c r="S73" s="795"/>
      <c r="T73" s="64"/>
      <c r="U73" s="64"/>
      <c r="V73" s="63"/>
      <c r="W73" s="64"/>
      <c r="X73" s="64"/>
      <c r="Y73" s="182"/>
    </row>
    <row r="74" spans="1:25" s="1" customFormat="1" ht="23.25" thickBot="1" x14ac:dyDescent="0.3">
      <c r="A74" s="8"/>
      <c r="B74" s="350" t="s">
        <v>183</v>
      </c>
      <c r="C74" s="338"/>
      <c r="D74" s="348"/>
      <c r="E74" s="340"/>
      <c r="F74" s="342"/>
      <c r="G74" s="612">
        <v>0</v>
      </c>
      <c r="H74" s="215"/>
      <c r="I74" s="116"/>
      <c r="J74" s="408"/>
      <c r="K74" s="318"/>
      <c r="L74" s="409"/>
      <c r="M74" s="317"/>
      <c r="N74" s="187"/>
      <c r="O74" s="410" t="s">
        <v>96</v>
      </c>
      <c r="P74" s="322">
        <v>0</v>
      </c>
      <c r="Q74" s="95">
        <v>0.2</v>
      </c>
      <c r="R74" s="96">
        <v>0</v>
      </c>
      <c r="S74" s="581" t="s">
        <v>310</v>
      </c>
      <c r="T74" s="64"/>
      <c r="U74" s="64"/>
      <c r="V74" s="63"/>
      <c r="W74" s="64"/>
      <c r="X74" s="64"/>
      <c r="Y74" s="182"/>
    </row>
    <row r="75" spans="1:25" s="53" customFormat="1" ht="18.75" thickBot="1" x14ac:dyDescent="0.25">
      <c r="A75" s="40"/>
      <c r="B75" s="350" t="s">
        <v>184</v>
      </c>
      <c r="C75" s="335"/>
      <c r="D75" s="336"/>
      <c r="E75" s="336"/>
      <c r="F75" s="336"/>
      <c r="G75" s="582">
        <f>SUM(G76:G79)</f>
        <v>15431642.6</v>
      </c>
      <c r="H75" s="43">
        <f t="shared" ref="H75:H88" si="10">G75/$G$91</f>
        <v>1.5068179968375242E-2</v>
      </c>
      <c r="I75" s="412"/>
      <c r="J75" s="44"/>
      <c r="K75" s="44"/>
      <c r="L75" s="44"/>
      <c r="M75" s="130"/>
      <c r="N75" s="131"/>
      <c r="O75" s="42"/>
      <c r="P75" s="166"/>
      <c r="Q75" s="617"/>
      <c r="R75" s="617"/>
      <c r="S75" s="140"/>
      <c r="T75" s="52"/>
      <c r="U75" s="52"/>
      <c r="V75" s="52"/>
      <c r="W75" s="52"/>
      <c r="X75" s="52"/>
      <c r="Y75" s="52"/>
    </row>
    <row r="76" spans="1:25" s="1" customFormat="1" ht="18.75" thickBot="1" x14ac:dyDescent="0.3">
      <c r="A76" s="8">
        <v>39</v>
      </c>
      <c r="B76" s="209" t="s">
        <v>116</v>
      </c>
      <c r="C76" s="87" t="s">
        <v>100</v>
      </c>
      <c r="D76" s="210" t="s">
        <v>117</v>
      </c>
      <c r="E76" s="110" t="s">
        <v>38</v>
      </c>
      <c r="F76" s="110" t="s">
        <v>39</v>
      </c>
      <c r="G76" s="591">
        <f>'[1]FFIN2 Fevereiro 2018'!$G$59</f>
        <v>3459822.01</v>
      </c>
      <c r="H76" s="614">
        <f t="shared" si="10"/>
        <v>3.3783325635876097E-3</v>
      </c>
      <c r="I76" s="416">
        <f>'[1]FFIN2 Fevereiro 2018'!$I$59</f>
        <v>-3.2876000000000002E-2</v>
      </c>
      <c r="J76" s="117"/>
      <c r="K76" s="377"/>
      <c r="L76" s="211" t="s">
        <v>118</v>
      </c>
      <c r="M76" s="458">
        <f>'[1]FFIN2 Fevereiro 2018'!$M$59</f>
        <v>1303016652.3299999</v>
      </c>
      <c r="N76" s="378">
        <f>G76/M76</f>
        <v>2.655240056842935E-3</v>
      </c>
      <c r="O76" s="799" t="s">
        <v>96</v>
      </c>
      <c r="P76" s="796">
        <f>SUM(G76:G79)/G91</f>
        <v>1.5068179968375242E-2</v>
      </c>
      <c r="Q76" s="778">
        <v>0.1</v>
      </c>
      <c r="R76" s="778">
        <v>0.03</v>
      </c>
      <c r="S76" s="813" t="s">
        <v>311</v>
      </c>
      <c r="T76" s="64"/>
      <c r="U76" s="64"/>
      <c r="V76" s="63"/>
      <c r="W76" s="64"/>
      <c r="X76" s="64"/>
      <c r="Y76" s="90"/>
    </row>
    <row r="77" spans="1:25" s="1" customFormat="1" ht="18.75" thickBot="1" x14ac:dyDescent="0.3">
      <c r="A77" s="8"/>
      <c r="B77" s="393" t="s">
        <v>212</v>
      </c>
      <c r="C77" s="87" t="s">
        <v>100</v>
      </c>
      <c r="D77" s="210" t="s">
        <v>117</v>
      </c>
      <c r="E77" s="110" t="s">
        <v>38</v>
      </c>
      <c r="F77" s="110" t="s">
        <v>39</v>
      </c>
      <c r="G77" s="457">
        <f>'[2]FFPREV Fevereiro 2018'!$G$40</f>
        <v>3410096.59</v>
      </c>
      <c r="H77" s="78">
        <f t="shared" si="10"/>
        <v>3.3297783301216889E-3</v>
      </c>
      <c r="I77" s="447">
        <f>'[2]FFPREV Fevereiro 2018'!$I$40</f>
        <v>-3.2876000000000002E-2</v>
      </c>
      <c r="J77" s="411"/>
      <c r="K77" s="403"/>
      <c r="L77" s="211" t="s">
        <v>71</v>
      </c>
      <c r="M77" s="458">
        <f>'[2]FFPREV Fevereiro 2018'!$M$40</f>
        <v>1303016652.3299999</v>
      </c>
      <c r="N77" s="378">
        <f>G77/M77</f>
        <v>2.6170782882185026E-3</v>
      </c>
      <c r="O77" s="800"/>
      <c r="P77" s="797"/>
      <c r="Q77" s="779"/>
      <c r="R77" s="779"/>
      <c r="S77" s="814"/>
      <c r="T77" s="64"/>
      <c r="U77" s="64"/>
      <c r="V77" s="63"/>
      <c r="W77" s="64"/>
      <c r="X77" s="64"/>
      <c r="Y77" s="90"/>
    </row>
    <row r="78" spans="1:25" s="1" customFormat="1" ht="18" x14ac:dyDescent="0.25">
      <c r="A78" s="8">
        <v>40</v>
      </c>
      <c r="B78" s="66" t="s">
        <v>107</v>
      </c>
      <c r="C78" s="197"/>
      <c r="D78" s="179" t="s">
        <v>119</v>
      </c>
      <c r="E78" s="124" t="s">
        <v>120</v>
      </c>
      <c r="F78" s="124" t="s">
        <v>120</v>
      </c>
      <c r="G78" s="384">
        <f>'[1]FFIN2 Fevereiro 2018'!$G$60</f>
        <v>5351077.5</v>
      </c>
      <c r="H78" s="78">
        <f t="shared" si="10"/>
        <v>5.2250431716662146E-3</v>
      </c>
      <c r="I78" s="415">
        <f>'[1]FFIN2 Fevereiro 2018'!$I$60</f>
        <v>3.5999999999999999E-3</v>
      </c>
      <c r="J78" s="111"/>
      <c r="K78" s="126"/>
      <c r="L78" s="113" t="s">
        <v>95</v>
      </c>
      <c r="M78" s="455">
        <f>'[1]FFIN2 Fevereiro 2018'!$M$60</f>
        <v>34771302.880000003</v>
      </c>
      <c r="N78" s="623">
        <f>G78/M78</f>
        <v>0.1538935000068079</v>
      </c>
      <c r="O78" s="800"/>
      <c r="P78" s="797"/>
      <c r="Q78" s="779"/>
      <c r="R78" s="779"/>
      <c r="S78" s="814"/>
      <c r="T78" s="64"/>
      <c r="U78" s="64"/>
      <c r="V78" s="63"/>
      <c r="W78" s="64"/>
      <c r="X78" s="64"/>
      <c r="Y78" s="90"/>
    </row>
    <row r="79" spans="1:25" s="1" customFormat="1" ht="18.75" thickBot="1" x14ac:dyDescent="0.3">
      <c r="A79" s="8"/>
      <c r="B79" s="413" t="s">
        <v>202</v>
      </c>
      <c r="C79" s="197"/>
      <c r="D79" s="88" t="s">
        <v>119</v>
      </c>
      <c r="E79" s="124" t="s">
        <v>120</v>
      </c>
      <c r="F79" s="124" t="s">
        <v>120</v>
      </c>
      <c r="G79" s="366">
        <f>'[2]FFPREV Fevereiro 2018'!$G$41</f>
        <v>3210646.5</v>
      </c>
      <c r="H79" s="89">
        <f t="shared" si="10"/>
        <v>3.1350259029997289E-3</v>
      </c>
      <c r="I79" s="367">
        <f>'[2]FFPREV Fevereiro 2018'!$I$41</f>
        <v>3.5999999999999999E-3</v>
      </c>
      <c r="J79" s="169"/>
      <c r="K79" s="405"/>
      <c r="L79" s="387" t="s">
        <v>95</v>
      </c>
      <c r="M79" s="459">
        <f>'[2]FFPREV Fevereiro 2018'!$M$41</f>
        <v>34771302.880000003</v>
      </c>
      <c r="N79" s="623">
        <f>G79/M79</f>
        <v>9.2336100004084737E-2</v>
      </c>
      <c r="O79" s="801"/>
      <c r="P79" s="798"/>
      <c r="Q79" s="780"/>
      <c r="R79" s="780"/>
      <c r="S79" s="815"/>
      <c r="T79" s="64"/>
      <c r="U79" s="64"/>
      <c r="V79" s="63"/>
      <c r="W79" s="64"/>
      <c r="X79" s="64"/>
      <c r="Y79" s="90"/>
    </row>
    <row r="80" spans="1:25" s="1" customFormat="1" ht="18.75" thickBot="1" x14ac:dyDescent="0.3">
      <c r="A80" s="8"/>
      <c r="B80" s="350" t="s">
        <v>185</v>
      </c>
      <c r="C80" s="335"/>
      <c r="D80" s="336"/>
      <c r="E80" s="336"/>
      <c r="F80" s="336"/>
      <c r="G80" s="582">
        <f>SUM(G81:G83)</f>
        <v>15258775.539999999</v>
      </c>
      <c r="H80" s="43">
        <f t="shared" si="10"/>
        <v>1.4899384459160692E-2</v>
      </c>
      <c r="I80" s="91"/>
      <c r="J80" s="92"/>
      <c r="K80" s="92"/>
      <c r="L80" s="44"/>
      <c r="M80" s="93"/>
      <c r="N80" s="131"/>
      <c r="O80" s="42"/>
      <c r="P80" s="617"/>
      <c r="Q80" s="49"/>
      <c r="R80" s="49"/>
      <c r="S80" s="140"/>
      <c r="T80" s="64"/>
      <c r="U80" s="64"/>
      <c r="V80" s="63"/>
      <c r="W80" s="64"/>
      <c r="X80" s="64"/>
      <c r="Y80" s="90"/>
    </row>
    <row r="81" spans="1:25" s="1" customFormat="1" ht="18" x14ac:dyDescent="0.25">
      <c r="A81" s="8"/>
      <c r="B81" s="148" t="s">
        <v>124</v>
      </c>
      <c r="C81" s="216"/>
      <c r="D81" s="217" t="s">
        <v>125</v>
      </c>
      <c r="E81" s="100" t="s">
        <v>89</v>
      </c>
      <c r="F81" s="100" t="s">
        <v>89</v>
      </c>
      <c r="G81" s="588">
        <f>'[1]FFIN2 Fevereiro 2018'!$G$62</f>
        <v>14029388.289999999</v>
      </c>
      <c r="H81" s="218">
        <f t="shared" si="10"/>
        <v>1.369895305895279E-2</v>
      </c>
      <c r="I81" s="425">
        <f>'[1]FFIN2 Fevereiro 2018'!$I$62</f>
        <v>7.9972000000000001E-2</v>
      </c>
      <c r="J81" s="219"/>
      <c r="K81" s="220"/>
      <c r="L81" s="216" t="s">
        <v>80</v>
      </c>
      <c r="M81" s="461">
        <f>'[1]FFIN2 Fevereiro 2018'!$M$62</f>
        <v>105073395.3</v>
      </c>
      <c r="N81" s="135">
        <f>G81/M81</f>
        <v>0.13351989102421247</v>
      </c>
      <c r="O81" s="781" t="s">
        <v>126</v>
      </c>
      <c r="P81" s="805">
        <f>SUM(G81:G83)/G91</f>
        <v>1.4899384459160692E-2</v>
      </c>
      <c r="Q81" s="808">
        <v>0.05</v>
      </c>
      <c r="R81" s="790">
        <v>0.03</v>
      </c>
      <c r="S81" s="793" t="s">
        <v>312</v>
      </c>
      <c r="T81" s="64"/>
      <c r="U81" s="64"/>
      <c r="V81" s="63"/>
      <c r="W81" s="64"/>
      <c r="X81" s="64"/>
      <c r="Y81" s="90"/>
    </row>
    <row r="82" spans="1:25" s="1" customFormat="1" ht="18" x14ac:dyDescent="0.25">
      <c r="A82" s="8"/>
      <c r="B82" s="221" t="s">
        <v>127</v>
      </c>
      <c r="C82" s="222"/>
      <c r="D82" s="223" t="s">
        <v>128</v>
      </c>
      <c r="E82" s="180" t="s">
        <v>89</v>
      </c>
      <c r="F82" s="180" t="s">
        <v>89</v>
      </c>
      <c r="G82" s="384">
        <f>'[1]FFIN2 Fevereiro 2018'!$G$63</f>
        <v>464087.98</v>
      </c>
      <c r="H82" s="78">
        <f t="shared" si="10"/>
        <v>4.5315728111793686E-4</v>
      </c>
      <c r="I82" s="448">
        <f>'[1]FFIN2 Fevereiro 2018'!$I$63</f>
        <v>-1E-3</v>
      </c>
      <c r="J82" s="224"/>
      <c r="K82" s="225"/>
      <c r="L82" s="226" t="s">
        <v>80</v>
      </c>
      <c r="M82" s="428">
        <f>'[1]FFIN2 Fevereiro 2018'!$M$63</f>
        <v>217525367.59999999</v>
      </c>
      <c r="N82" s="114">
        <f>G82/M82</f>
        <v>2.1334890046175929E-3</v>
      </c>
      <c r="O82" s="782"/>
      <c r="P82" s="806"/>
      <c r="Q82" s="809"/>
      <c r="R82" s="791"/>
      <c r="S82" s="794"/>
      <c r="T82" s="64"/>
      <c r="U82" s="64"/>
      <c r="V82" s="63"/>
      <c r="W82" s="64"/>
      <c r="X82" s="64"/>
      <c r="Y82" s="90"/>
    </row>
    <row r="83" spans="1:25" s="1" customFormat="1" ht="18.75" thickBot="1" x14ac:dyDescent="0.3">
      <c r="A83" s="8"/>
      <c r="B83" s="227" t="s">
        <v>129</v>
      </c>
      <c r="C83" s="216"/>
      <c r="D83" s="228" t="s">
        <v>130</v>
      </c>
      <c r="E83" s="155" t="s">
        <v>89</v>
      </c>
      <c r="F83" s="155" t="s">
        <v>89</v>
      </c>
      <c r="G83" s="385">
        <f>'[1]FFIN2 Fevereiro 2018'!$G$64</f>
        <v>765299.27</v>
      </c>
      <c r="H83" s="89">
        <f t="shared" si="10"/>
        <v>7.4727411908996622E-4</v>
      </c>
      <c r="I83" s="460">
        <f>'[1]FFIN2 Fevereiro 2018'!$I$64</f>
        <v>-1.3365E-2</v>
      </c>
      <c r="J83" s="229"/>
      <c r="K83" s="230"/>
      <c r="L83" s="231" t="s">
        <v>80</v>
      </c>
      <c r="M83" s="428">
        <f>'[1]FFIN2 Fevereiro 2018'!$M$64</f>
        <v>176616955.02000001</v>
      </c>
      <c r="N83" s="171">
        <f>G83/M83</f>
        <v>4.3331019375423951E-3</v>
      </c>
      <c r="O83" s="783"/>
      <c r="P83" s="807"/>
      <c r="Q83" s="810"/>
      <c r="R83" s="792"/>
      <c r="S83" s="795"/>
      <c r="T83" s="64"/>
      <c r="U83" s="64"/>
      <c r="V83" s="63"/>
      <c r="W83" s="64"/>
      <c r="X83" s="64"/>
      <c r="Y83" s="90"/>
    </row>
    <row r="84" spans="1:25" s="53" customFormat="1" ht="18.75" thickBot="1" x14ac:dyDescent="0.25">
      <c r="A84" s="40"/>
      <c r="B84" s="350" t="s">
        <v>186</v>
      </c>
      <c r="C84" s="335"/>
      <c r="D84" s="336"/>
      <c r="E84" s="336"/>
      <c r="F84" s="336"/>
      <c r="G84" s="582">
        <f>SUM(G85:G86)</f>
        <v>15130430.16</v>
      </c>
      <c r="H84" s="43">
        <f t="shared" si="10"/>
        <v>1.477406200748925E-2</v>
      </c>
      <c r="I84" s="91"/>
      <c r="J84" s="92"/>
      <c r="K84" s="44"/>
      <c r="L84" s="44"/>
      <c r="M84" s="130"/>
      <c r="N84" s="131"/>
      <c r="O84" s="42"/>
      <c r="P84" s="617"/>
      <c r="Q84" s="166"/>
      <c r="R84" s="166"/>
      <c r="S84" s="580"/>
      <c r="T84" s="52"/>
      <c r="U84" s="52"/>
      <c r="V84" s="52"/>
      <c r="W84" s="52"/>
      <c r="X84" s="52"/>
      <c r="Y84" s="52"/>
    </row>
    <row r="85" spans="1:25" s="53" customFormat="1" ht="16.5" customHeight="1" x14ac:dyDescent="0.25">
      <c r="A85" s="212">
        <v>41</v>
      </c>
      <c r="B85" s="97" t="s">
        <v>161</v>
      </c>
      <c r="C85" s="98"/>
      <c r="D85" s="134" t="s">
        <v>162</v>
      </c>
      <c r="E85" s="101" t="s">
        <v>89</v>
      </c>
      <c r="F85" s="101" t="s">
        <v>89</v>
      </c>
      <c r="G85" s="588">
        <f>'[1]FFIN2 Fevereiro 2018'!$G$66</f>
        <v>5900000</v>
      </c>
      <c r="H85" s="213">
        <f t="shared" si="10"/>
        <v>5.7610368589934768E-3</v>
      </c>
      <c r="I85" s="416">
        <f>'[1]FFIN2 Fevereiro 2018'!$I$66</f>
        <v>5.3600000000000002E-2</v>
      </c>
      <c r="J85" s="214"/>
      <c r="K85" s="104"/>
      <c r="L85" s="105" t="s">
        <v>71</v>
      </c>
      <c r="M85" s="628">
        <f>'[1]FFIN2 Fevereiro 2018'!$M$66</f>
        <v>153397209.24000001</v>
      </c>
      <c r="N85" s="135">
        <f>G85/M85</f>
        <v>3.846223819345411E-2</v>
      </c>
      <c r="O85" s="799" t="s">
        <v>121</v>
      </c>
      <c r="P85" s="796">
        <f>SUM(G85:G86)/G91</f>
        <v>1.477406200748925E-2</v>
      </c>
      <c r="Q85" s="790">
        <v>0.05</v>
      </c>
      <c r="R85" s="790">
        <v>0.03</v>
      </c>
      <c r="S85" s="793" t="s">
        <v>313</v>
      </c>
      <c r="T85" s="52"/>
      <c r="U85" s="52"/>
      <c r="V85" s="52"/>
      <c r="W85" s="52"/>
      <c r="X85" s="52"/>
      <c r="Y85" s="52"/>
    </row>
    <row r="86" spans="1:25" s="1" customFormat="1" ht="18.75" thickBot="1" x14ac:dyDescent="0.3">
      <c r="A86" s="8">
        <v>42</v>
      </c>
      <c r="B86" s="167" t="s">
        <v>122</v>
      </c>
      <c r="C86" s="108"/>
      <c r="D86" s="87" t="s">
        <v>123</v>
      </c>
      <c r="E86" s="168" t="s">
        <v>89</v>
      </c>
      <c r="F86" s="168" t="s">
        <v>89</v>
      </c>
      <c r="G86" s="385">
        <f>'[1]FFIN2 Fevereiro 2018'!$G$67</f>
        <v>9230430.1600000001</v>
      </c>
      <c r="H86" s="215">
        <f t="shared" si="10"/>
        <v>9.0130251484957721E-3</v>
      </c>
      <c r="I86" s="460">
        <f>'[1]FFIN2 Fevereiro 2018'!$I$67</f>
        <v>4.3400000000000001E-2</v>
      </c>
      <c r="J86" s="138"/>
      <c r="K86" s="208"/>
      <c r="L86" s="159" t="s">
        <v>71</v>
      </c>
      <c r="M86" s="170">
        <f>'[1]FFIN2 Fevereiro 2018'!$M$67</f>
        <v>152679755.72999999</v>
      </c>
      <c r="N86" s="624">
        <f>G86/M86</f>
        <v>6.0456149643854297E-2</v>
      </c>
      <c r="O86" s="801"/>
      <c r="P86" s="798"/>
      <c r="Q86" s="792"/>
      <c r="R86" s="792"/>
      <c r="S86" s="795"/>
      <c r="T86" s="64"/>
      <c r="U86" s="64"/>
      <c r="V86" s="63"/>
      <c r="W86" s="64"/>
      <c r="X86" s="63"/>
      <c r="Y86" s="65"/>
    </row>
    <row r="87" spans="1:25" s="1" customFormat="1" ht="12" customHeight="1" thickBot="1" x14ac:dyDescent="0.3">
      <c r="A87" s="185"/>
      <c r="B87" s="186" t="s">
        <v>131</v>
      </c>
      <c r="C87" s="41"/>
      <c r="D87" s="42"/>
      <c r="E87" s="232"/>
      <c r="F87" s="232"/>
      <c r="G87" s="592">
        <f>SUM(G88:G90)</f>
        <v>659095.34000000008</v>
      </c>
      <c r="H87" s="233">
        <f t="shared" si="10"/>
        <v>6.4357161819166746E-4</v>
      </c>
      <c r="I87" s="234"/>
      <c r="J87" s="235"/>
      <c r="K87" s="235"/>
      <c r="L87" s="235"/>
      <c r="M87" s="236"/>
      <c r="N87" s="131"/>
      <c r="O87" s="237"/>
      <c r="P87" s="238">
        <f>SUM((G59+G63+G65+G75+G84)/G91)*100</f>
        <v>16.555190877989467</v>
      </c>
      <c r="Q87" s="239"/>
      <c r="R87" s="240">
        <f>SUM(P59+P87+P88+P89)/100</f>
        <v>0.98446347963882952</v>
      </c>
      <c r="S87" s="51"/>
      <c r="T87" s="216"/>
      <c r="U87" s="216"/>
      <c r="V87" s="216"/>
      <c r="W87" s="216"/>
      <c r="X87" s="216"/>
    </row>
    <row r="88" spans="1:25" s="1" customFormat="1" ht="18" x14ac:dyDescent="0.25">
      <c r="A88" s="185">
        <v>46</v>
      </c>
      <c r="B88" s="241" t="s">
        <v>132</v>
      </c>
      <c r="C88" s="242"/>
      <c r="D88" s="243"/>
      <c r="E88" s="244"/>
      <c r="F88" s="245"/>
      <c r="G88" s="593">
        <f>'[1]FFIN2 Fevereiro 2018'!$G$69</f>
        <v>2979.3</v>
      </c>
      <c r="H88" s="199">
        <f t="shared" si="10"/>
        <v>2.9091283244066555E-6</v>
      </c>
      <c r="I88" s="142">
        <f>'[1]FFIN2 Fevereiro 2018'!$I$69</f>
        <v>0</v>
      </c>
      <c r="J88" s="246"/>
      <c r="K88" s="247"/>
      <c r="L88" s="248"/>
      <c r="M88" s="249"/>
      <c r="N88" s="250"/>
      <c r="O88" s="803" t="s">
        <v>133</v>
      </c>
      <c r="P88" s="811">
        <f>SUM(G88:G90)/G91</f>
        <v>6.4357161819166746E-4</v>
      </c>
      <c r="Q88" s="574"/>
      <c r="R88" s="251"/>
      <c r="S88" s="245"/>
      <c r="T88" s="216"/>
      <c r="U88" s="216"/>
      <c r="V88" s="216"/>
      <c r="W88" s="216"/>
      <c r="X88" s="216"/>
    </row>
    <row r="89" spans="1:25" s="216" customFormat="1" ht="18.75" thickBot="1" x14ac:dyDescent="0.3">
      <c r="A89" s="8">
        <v>47</v>
      </c>
      <c r="B89" s="252" t="s">
        <v>134</v>
      </c>
      <c r="C89" s="253"/>
      <c r="D89" s="254"/>
      <c r="E89" s="255"/>
      <c r="F89" s="253"/>
      <c r="G89" s="384">
        <f>'[1]FFIN2 Fevereiro 2018'!$G$70</f>
        <v>648180.52</v>
      </c>
      <c r="H89" s="256">
        <v>9.5999999999999992E-3</v>
      </c>
      <c r="I89" s="71">
        <f>'[1]FFIN2 Fevereiro 2018'!$I$70</f>
        <v>0</v>
      </c>
      <c r="J89" s="257"/>
      <c r="K89" s="258"/>
      <c r="L89" s="259"/>
      <c r="M89" s="260"/>
      <c r="N89" s="261"/>
      <c r="O89" s="804"/>
      <c r="P89" s="812"/>
      <c r="Q89" s="253"/>
      <c r="R89" s="262"/>
      <c r="S89" s="255"/>
      <c r="T89" s="263"/>
      <c r="V89" s="264"/>
      <c r="Y89" s="1"/>
    </row>
    <row r="90" spans="1:25" s="216" customFormat="1" ht="18" x14ac:dyDescent="0.25">
      <c r="A90" s="8"/>
      <c r="B90" s="401" t="s">
        <v>213</v>
      </c>
      <c r="C90" s="242"/>
      <c r="D90" s="254"/>
      <c r="E90" s="402"/>
      <c r="F90" s="255"/>
      <c r="G90" s="384">
        <f>'[2]FFPREV Fevereiro 2018'!$G$46</f>
        <v>7935.52</v>
      </c>
      <c r="H90" s="70">
        <f>G90/$G$85</f>
        <v>1.3450033898305086E-3</v>
      </c>
      <c r="I90" s="71">
        <f>'[2]FFPREV Fevereiro 2018'!$I$46</f>
        <v>0</v>
      </c>
      <c r="J90" s="394"/>
      <c r="K90" s="395"/>
      <c r="L90" s="396"/>
      <c r="M90" s="397"/>
      <c r="N90" s="398"/>
      <c r="O90" s="576"/>
      <c r="P90" s="812"/>
      <c r="Q90" s="575"/>
      <c r="R90" s="399"/>
      <c r="S90" s="400"/>
      <c r="T90" s="263"/>
      <c r="V90" s="264"/>
      <c r="Y90" s="1"/>
    </row>
    <row r="91" spans="1:25" s="216" customFormat="1" ht="18.75" thickBot="1" x14ac:dyDescent="0.3">
      <c r="A91" s="8"/>
      <c r="B91" s="265" t="s">
        <v>135</v>
      </c>
      <c r="C91" s="266"/>
      <c r="D91" s="267"/>
      <c r="E91" s="268"/>
      <c r="F91" s="268"/>
      <c r="G91" s="594">
        <f>G4+G15+G29+G30+G31+G32+G33+G49+G50+G51+G52+G53+G57+G58+G59+G63+G65+G74+G75+G80+G84+G87</f>
        <v>1024121203.25</v>
      </c>
      <c r="H91" s="269">
        <f>G91/$G$91</f>
        <v>1</v>
      </c>
      <c r="I91" s="270"/>
      <c r="J91" s="271"/>
      <c r="K91" s="272"/>
      <c r="L91" s="273"/>
      <c r="M91" s="274"/>
      <c r="N91" s="275"/>
      <c r="O91" s="577"/>
      <c r="P91" s="579">
        <f>SUM(P5+P16+P34+P54+P55+P60+P64+P66+P76+P81+P85+P88+P89)</f>
        <v>1.0000000000000002</v>
      </c>
      <c r="Q91" s="578"/>
      <c r="R91" s="276"/>
      <c r="S91" s="277"/>
      <c r="T91" s="263"/>
      <c r="V91" s="264"/>
      <c r="Y91" s="1"/>
    </row>
    <row r="92" spans="1:25" s="216" customFormat="1" x14ac:dyDescent="0.25">
      <c r="A92" s="1"/>
      <c r="B92" s="278" t="str">
        <f>'[1]FFIN2 Fevereiro 2018'!$B$72</f>
        <v>Meta Atuarial(INPC 0,18 + 0,486755)</v>
      </c>
      <c r="C92" s="278"/>
      <c r="D92" s="279"/>
      <c r="E92" s="279">
        <f>'[1]FFIN2 Fevereiro 2018'!$E$72</f>
        <v>6.0000000000000001E-3</v>
      </c>
      <c r="F92" s="279"/>
      <c r="G92" s="278" t="s">
        <v>136</v>
      </c>
      <c r="H92" s="280">
        <f>'[1]FFIN2 Fevereiro 2018'!$H$72</f>
        <v>5.1999999999999998E-3</v>
      </c>
      <c r="I92" s="281"/>
      <c r="J92" s="278" t="s">
        <v>137</v>
      </c>
      <c r="K92" s="280">
        <f>'[1]FFIN2 Fevereiro 2018'!$K$72</f>
        <v>1.15E-2</v>
      </c>
      <c r="L92" s="281"/>
      <c r="M92" s="282" t="s">
        <v>138</v>
      </c>
      <c r="N92" s="280">
        <f>'[1]FFIN2 Fevereiro 2018'!$N$72</f>
        <v>1.1023E-2</v>
      </c>
      <c r="O92" s="1"/>
      <c r="P92" s="280" t="s">
        <v>317</v>
      </c>
      <c r="Q92" s="1"/>
      <c r="R92" s="280"/>
      <c r="S92" s="283">
        <v>3.6400000000000002E-2</v>
      </c>
      <c r="Y92" s="1"/>
    </row>
    <row r="93" spans="1:25" s="216" customFormat="1" x14ac:dyDescent="0.25">
      <c r="A93" s="1"/>
      <c r="B93" s="278" t="s">
        <v>139</v>
      </c>
      <c r="C93" s="284"/>
      <c r="D93" s="278"/>
      <c r="E93" s="285">
        <v>8.5000000000000006E-3</v>
      </c>
      <c r="F93" s="280"/>
      <c r="G93" s="278" t="s">
        <v>140</v>
      </c>
      <c r="H93" s="280">
        <f>'[1]FFIN2 Fevereiro 2018'!$H$73</f>
        <v>4.1999999999999997E-3</v>
      </c>
      <c r="I93" s="278"/>
      <c r="J93" s="278" t="s">
        <v>141</v>
      </c>
      <c r="K93" s="280">
        <f>'[1]FFIN2 Fevereiro 2018'!$K$73</f>
        <v>5.4860000000000004E-3</v>
      </c>
      <c r="L93" s="280"/>
      <c r="M93" s="282" t="s">
        <v>142</v>
      </c>
      <c r="N93" s="280">
        <f>'[1]FFIN2 Fevereiro 2018'!$N$73</f>
        <v>5.4099999999999999E-3</v>
      </c>
      <c r="O93" s="1"/>
      <c r="P93" s="286" t="s">
        <v>143</v>
      </c>
      <c r="Q93" s="1"/>
      <c r="R93" s="1"/>
      <c r="S93" s="283">
        <v>1.34E-2</v>
      </c>
      <c r="Y93" s="1"/>
    </row>
    <row r="94" spans="1:25" s="216" customFormat="1" x14ac:dyDescent="0.25">
      <c r="A94" s="1"/>
      <c r="B94" s="278" t="s">
        <v>144</v>
      </c>
      <c r="C94" s="1"/>
      <c r="D94" s="280"/>
      <c r="E94" s="280">
        <v>1.8E-3</v>
      </c>
      <c r="F94" s="280"/>
      <c r="G94" s="278" t="s">
        <v>145</v>
      </c>
      <c r="H94" s="280">
        <f>'[1]FFIN2 Fevereiro 2018'!$H$74</f>
        <v>4.3E-3</v>
      </c>
      <c r="I94" s="278"/>
      <c r="J94" s="278" t="s">
        <v>146</v>
      </c>
      <c r="K94" s="280">
        <f>'[1]FFIN2 Fevereiro 2018'!$K$74</f>
        <v>7.1640000000000002E-3</v>
      </c>
      <c r="L94" s="280"/>
      <c r="M94" s="282" t="s">
        <v>147</v>
      </c>
      <c r="N94" s="280">
        <f>'[1]FFIN2 Fevereiro 2018'!$N$74</f>
        <v>1.315E-2</v>
      </c>
      <c r="O94" s="280"/>
      <c r="P94" s="286" t="s">
        <v>318</v>
      </c>
      <c r="Q94" s="1"/>
      <c r="R94" s="1"/>
      <c r="S94" s="283">
        <v>0.1376</v>
      </c>
      <c r="T94" s="287"/>
      <c r="Y94" s="1"/>
    </row>
    <row r="95" spans="1:25" s="216" customFormat="1" x14ac:dyDescent="0.25">
      <c r="A95" s="1"/>
      <c r="B95" s="278" t="s">
        <v>118</v>
      </c>
      <c r="C95" s="280"/>
      <c r="D95" s="280"/>
      <c r="E95" s="288">
        <f>'[1]FFIN2 Fevereiro 2018'!$E$75</f>
        <v>4.5999999999999999E-3</v>
      </c>
      <c r="F95" s="288"/>
      <c r="G95" s="278" t="s">
        <v>148</v>
      </c>
      <c r="H95" s="280">
        <f>'[1]FFIN2 Fevereiro 2018'!$H$75</f>
        <v>-3.7000000000000002E-3</v>
      </c>
      <c r="I95" s="278"/>
      <c r="J95" s="278" t="s">
        <v>149</v>
      </c>
      <c r="K95" s="280">
        <f>'[1]FFIN2 Fevereiro 2018'!$K$75</f>
        <v>5.3920000000000001E-3</v>
      </c>
      <c r="L95" s="280"/>
      <c r="M95" s="282" t="s">
        <v>150</v>
      </c>
      <c r="N95" s="280">
        <f>'[1]FFIN2 Fevereiro 2018'!$N$75</f>
        <v>5.2880000000000002E-3</v>
      </c>
      <c r="O95" s="280"/>
      <c r="P95" s="286" t="s">
        <v>151</v>
      </c>
      <c r="Q95" s="1"/>
      <c r="R95" s="1"/>
      <c r="S95" s="283">
        <v>7.8700000000000006E-2</v>
      </c>
      <c r="Y95" s="1"/>
    </row>
    <row r="96" spans="1:25" s="216" customFormat="1" x14ac:dyDescent="0.25">
      <c r="A96" s="1"/>
      <c r="B96" s="278" t="s">
        <v>80</v>
      </c>
      <c r="C96" s="1"/>
      <c r="D96" s="280"/>
      <c r="E96" s="288">
        <f>'[1]FFIN2 Fevereiro 2018'!$E$76</f>
        <v>3.2000000000000002E-3</v>
      </c>
      <c r="F96" s="288"/>
      <c r="G96" s="278" t="s">
        <v>112</v>
      </c>
      <c r="H96" s="280">
        <f>'[1]FFIN2 Fevereiro 2018'!$H$76</f>
        <v>-6.1000000000000004E-3</v>
      </c>
      <c r="I96" s="1"/>
      <c r="J96" s="278" t="s">
        <v>152</v>
      </c>
      <c r="K96" s="280">
        <f>'[1]FFIN2 Fevereiro 2018'!$K$76</f>
        <v>5.5659999999999998E-3</v>
      </c>
      <c r="L96" s="1"/>
      <c r="M96" s="282" t="s">
        <v>153</v>
      </c>
      <c r="N96" s="280">
        <f>'[1]FFIN2 Fevereiro 2018'!$N$76</f>
        <v>4.5820000000000001E-3</v>
      </c>
      <c r="O96" s="280"/>
      <c r="P96" s="286"/>
      <c r="Q96" s="1"/>
      <c r="R96" s="1"/>
      <c r="S96" s="289">
        <f>'[2]FFPREV Fevereiro 2018'!$G$47</f>
        <v>240168044.28999999</v>
      </c>
      <c r="T96" s="290"/>
      <c r="Y96" s="1"/>
    </row>
    <row r="97" spans="1:25" s="216" customFormat="1" x14ac:dyDescent="0.25">
      <c r="A97" s="1"/>
      <c r="B97" s="1"/>
      <c r="C97" s="1"/>
      <c r="D97" s="1"/>
      <c r="E97" s="1"/>
      <c r="F97" s="1"/>
      <c r="G97" s="278"/>
      <c r="H97" s="280" t="s">
        <v>154</v>
      </c>
      <c r="I97" s="1"/>
      <c r="J97" s="278"/>
      <c r="K97" s="280"/>
      <c r="L97" s="1"/>
      <c r="M97" s="282"/>
      <c r="N97" s="291"/>
      <c r="O97" s="280"/>
      <c r="P97" s="1"/>
      <c r="Q97" s="1"/>
      <c r="R97" s="1"/>
      <c r="S97" s="292">
        <f>'[1]FFIN2 Fevereiro 2018'!$G$71</f>
        <v>783953158.96000004</v>
      </c>
      <c r="Y97" s="1"/>
    </row>
    <row r="98" spans="1:25" s="1" customFormat="1" x14ac:dyDescent="0.25">
      <c r="D98" t="s">
        <v>155</v>
      </c>
      <c r="G98" s="293">
        <f>S98</f>
        <v>1024121203.25</v>
      </c>
      <c r="H98" s="280"/>
      <c r="J98" s="278"/>
      <c r="K98" s="280"/>
      <c r="M98" s="294"/>
      <c r="N98" s="291"/>
      <c r="O98" s="280"/>
      <c r="S98" s="295">
        <f>S96+S97</f>
        <v>1024121203.25</v>
      </c>
      <c r="T98" s="216"/>
      <c r="U98" s="216"/>
      <c r="V98" s="216"/>
      <c r="W98" s="216"/>
      <c r="X98" s="216"/>
    </row>
    <row r="99" spans="1:25" s="7" customFormat="1" x14ac:dyDescent="0.25">
      <c r="A99"/>
      <c r="B99"/>
      <c r="C99"/>
      <c r="D99"/>
      <c r="E99"/>
      <c r="F99"/>
      <c r="G99" s="296"/>
      <c r="H99" s="280"/>
      <c r="I99" s="1"/>
      <c r="J99" s="278"/>
      <c r="K99" s="280"/>
      <c r="L99" s="1"/>
      <c r="M99" s="294"/>
      <c r="N99" s="300"/>
      <c r="O99"/>
      <c r="P99"/>
      <c r="Q99"/>
      <c r="R99"/>
      <c r="S99" s="295"/>
      <c r="Y99"/>
    </row>
    <row r="100" spans="1:25" s="7" customFormat="1" x14ac:dyDescent="0.25">
      <c r="A100"/>
      <c r="B100" s="278"/>
      <c r="C100" s="278"/>
      <c r="D100" s="278"/>
      <c r="E100" s="279"/>
      <c r="F100" s="279"/>
      <c r="G100" s="296"/>
      <c r="H100" s="291"/>
      <c r="I100" s="1"/>
      <c r="J100" s="1"/>
      <c r="K100" s="1"/>
      <c r="L100" s="1"/>
      <c r="M100" s="294"/>
      <c r="N100" s="300"/>
      <c r="O100"/>
      <c r="P100"/>
      <c r="Q100"/>
      <c r="R100"/>
      <c r="S100"/>
      <c r="Y100"/>
    </row>
    <row r="101" spans="1:25" s="7" customFormat="1" x14ac:dyDescent="0.25">
      <c r="A101"/>
      <c r="B101" s="278"/>
      <c r="C101" s="278"/>
      <c r="D101" s="278"/>
      <c r="E101" s="280"/>
      <c r="F101" s="280"/>
      <c r="G101" s="301"/>
      <c r="H101" s="291"/>
      <c r="I101" s="1"/>
      <c r="J101" s="1"/>
      <c r="K101" s="1"/>
      <c r="L101" s="1"/>
      <c r="M101" s="294"/>
      <c r="N101" s="300"/>
      <c r="O101"/>
      <c r="P101"/>
      <c r="Q101"/>
      <c r="R101"/>
      <c r="S101"/>
      <c r="Y101"/>
    </row>
    <row r="102" spans="1:25" s="7" customFormat="1" x14ac:dyDescent="0.25">
      <c r="A102"/>
      <c r="B102" s="278"/>
      <c r="C102" s="1"/>
      <c r="D102" s="280"/>
      <c r="E102" s="280"/>
      <c r="F102" s="280"/>
      <c r="G102" s="296"/>
      <c r="H102" s="291"/>
      <c r="I102" s="1"/>
      <c r="J102" s="1"/>
      <c r="K102" s="1"/>
      <c r="L102" s="1"/>
      <c r="M102" s="294"/>
      <c r="N102" s="300"/>
      <c r="O102"/>
      <c r="P102"/>
      <c r="Q102"/>
      <c r="R102"/>
      <c r="S102"/>
      <c r="Y102"/>
    </row>
    <row r="103" spans="1:25" s="7" customFormat="1" x14ac:dyDescent="0.25">
      <c r="A103"/>
      <c r="B103" s="278"/>
      <c r="C103" s="280"/>
      <c r="D103" s="280"/>
      <c r="E103" s="286"/>
      <c r="F103" s="286"/>
      <c r="G103" s="296"/>
      <c r="H103" s="291"/>
      <c r="I103" s="1"/>
      <c r="J103" s="1"/>
      <c r="K103" s="1"/>
      <c r="L103" s="1"/>
      <c r="M103" s="294" t="s">
        <v>156</v>
      </c>
      <c r="N103" s="300"/>
      <c r="O103"/>
      <c r="P103"/>
      <c r="Q103"/>
      <c r="R103"/>
      <c r="S103"/>
      <c r="Y103"/>
    </row>
    <row r="104" spans="1:25" s="7" customFormat="1" x14ac:dyDescent="0.25">
      <c r="A104"/>
      <c r="B104" s="278" t="s">
        <v>60</v>
      </c>
      <c r="C104" s="1"/>
      <c r="D104" s="280" t="s">
        <v>157</v>
      </c>
      <c r="E104" s="302">
        <v>6.4999999999999997E-3</v>
      </c>
      <c r="F104" s="1"/>
      <c r="G104" s="296">
        <f>G4+G15+G29+G30+G31+G32+G33+G49+G50+G51+G52+G53+G57+G58</f>
        <v>838658112.35000002</v>
      </c>
      <c r="H104" s="291">
        <f>G104/G107</f>
        <v>0.81890513514275298</v>
      </c>
      <c r="I104" s="1"/>
      <c r="J104" s="1" t="s">
        <v>60</v>
      </c>
      <c r="K104" s="1"/>
      <c r="L104" s="1"/>
      <c r="M104" s="629">
        <f>G118</f>
        <v>838658112.35000002</v>
      </c>
      <c r="N104" s="300">
        <f>M104/M107</f>
        <v>0.81890513514275298</v>
      </c>
      <c r="O104"/>
      <c r="P104"/>
      <c r="Q104"/>
      <c r="R104"/>
      <c r="S104"/>
      <c r="Y104"/>
    </row>
    <row r="105" spans="1:25" s="7" customFormat="1" x14ac:dyDescent="0.25">
      <c r="A105"/>
      <c r="B105" t="s">
        <v>96</v>
      </c>
      <c r="C105"/>
      <c r="D105" s="280" t="s">
        <v>157</v>
      </c>
      <c r="E105" s="302">
        <v>1.7899999999999999E-2</v>
      </c>
      <c r="F105"/>
      <c r="G105" s="296">
        <f>G59+G63+G65+G74+G75+G80+G84</f>
        <v>184803995.55999997</v>
      </c>
      <c r="H105" s="291">
        <f>G105/G107</f>
        <v>0.18045129323905537</v>
      </c>
      <c r="I105" s="1"/>
      <c r="J105" s="1" t="s">
        <v>96</v>
      </c>
      <c r="K105" s="1"/>
      <c r="L105" s="1"/>
      <c r="M105" s="629">
        <f>G133</f>
        <v>184803995.55999997</v>
      </c>
      <c r="N105" s="300">
        <f>M105/M107</f>
        <v>0.18045129323905537</v>
      </c>
      <c r="O105"/>
      <c r="P105"/>
      <c r="Q105"/>
      <c r="R105"/>
      <c r="S105"/>
      <c r="Y105"/>
    </row>
    <row r="106" spans="1:25" s="7" customFormat="1" x14ac:dyDescent="0.25">
      <c r="A106"/>
      <c r="B106" t="s">
        <v>158</v>
      </c>
      <c r="C106"/>
      <c r="D106"/>
      <c r="E106" s="304"/>
      <c r="F106"/>
      <c r="G106" s="296">
        <f>G87</f>
        <v>659095.34000000008</v>
      </c>
      <c r="H106" s="291">
        <f>G106/G107</f>
        <v>6.4357161819166746E-4</v>
      </c>
      <c r="I106" s="1"/>
      <c r="J106" s="1" t="s">
        <v>159</v>
      </c>
      <c r="K106" s="1"/>
      <c r="L106" s="1"/>
      <c r="M106" s="629">
        <f>G141</f>
        <v>659095.34000000008</v>
      </c>
      <c r="N106" s="300">
        <f>M106/M107</f>
        <v>6.4357161819166746E-4</v>
      </c>
      <c r="O106"/>
      <c r="P106"/>
      <c r="Q106"/>
      <c r="R106"/>
      <c r="S106"/>
      <c r="Y106"/>
    </row>
    <row r="107" spans="1:25" s="7" customFormat="1" x14ac:dyDescent="0.25">
      <c r="A107"/>
      <c r="B107"/>
      <c r="C107"/>
      <c r="D107"/>
      <c r="E107" s="302">
        <v>8.5000000000000006E-3</v>
      </c>
      <c r="F107"/>
      <c r="G107" s="296">
        <f>G104+G105+G106</f>
        <v>1024121203.25</v>
      </c>
      <c r="H107" s="291">
        <f>SUM(H104:H106)</f>
        <v>1</v>
      </c>
      <c r="I107" s="1"/>
      <c r="J107" s="216" t="s">
        <v>160</v>
      </c>
      <c r="K107" s="216"/>
      <c r="L107" s="216"/>
      <c r="M107" s="629">
        <f>M104+M105+M106</f>
        <v>1024121203.25</v>
      </c>
      <c r="N107" s="300">
        <f>N104+N105+N106</f>
        <v>1</v>
      </c>
      <c r="O107"/>
      <c r="P107"/>
      <c r="Q107"/>
      <c r="R107"/>
      <c r="S107"/>
      <c r="Y107"/>
    </row>
    <row r="108" spans="1:25" s="7" customFormat="1" x14ac:dyDescent="0.25">
      <c r="A108"/>
      <c r="B108"/>
      <c r="C108"/>
      <c r="D108"/>
      <c r="E108" s="305"/>
      <c r="F108"/>
      <c r="G108" s="1"/>
      <c r="H108" s="291"/>
      <c r="I108" s="1"/>
      <c r="J108" s="1"/>
      <c r="K108" s="1"/>
      <c r="L108" s="1"/>
      <c r="M108" s="294"/>
      <c r="N108" s="300"/>
      <c r="O108"/>
      <c r="P108"/>
      <c r="Q108"/>
      <c r="R108"/>
      <c r="S108"/>
      <c r="Y108"/>
    </row>
    <row r="109" spans="1:25" s="7" customFormat="1" x14ac:dyDescent="0.25">
      <c r="A109"/>
      <c r="B109"/>
      <c r="C109"/>
      <c r="D109"/>
      <c r="E109"/>
      <c r="F109"/>
      <c r="G109" s="1"/>
      <c r="H109" s="291"/>
      <c r="I109" s="1"/>
      <c r="J109" s="1"/>
      <c r="K109" s="1"/>
      <c r="L109" s="1"/>
      <c r="M109" s="294"/>
      <c r="N109" s="300"/>
      <c r="O109"/>
      <c r="P109"/>
      <c r="Q109"/>
      <c r="R109"/>
      <c r="S109"/>
      <c r="Y109"/>
    </row>
    <row r="110" spans="1:25" s="7" customFormat="1" x14ac:dyDescent="0.25">
      <c r="A110"/>
      <c r="B110"/>
      <c r="C110"/>
      <c r="D110"/>
      <c r="E110"/>
      <c r="F110"/>
      <c r="G110" s="1"/>
      <c r="H110" s="291"/>
      <c r="I110" s="1"/>
      <c r="J110" s="1"/>
      <c r="K110" s="1"/>
      <c r="L110" s="1"/>
      <c r="M110" s="294"/>
      <c r="N110" s="300"/>
      <c r="O110"/>
      <c r="P110"/>
      <c r="Q110"/>
      <c r="R110"/>
      <c r="S110"/>
      <c r="Y110"/>
    </row>
    <row r="111" spans="1:25" x14ac:dyDescent="0.25">
      <c r="A111" s="545"/>
      <c r="B111" s="545"/>
      <c r="C111" s="545"/>
      <c r="D111" s="546"/>
      <c r="E111" s="545"/>
      <c r="F111" s="545"/>
      <c r="G111" s="547"/>
      <c r="H111" s="548"/>
      <c r="I111" s="545"/>
      <c r="J111" s="286"/>
      <c r="K111" s="548"/>
      <c r="L111" s="545"/>
      <c r="M111" s="545"/>
      <c r="N111" s="545"/>
      <c r="O111" s="548"/>
      <c r="P111" s="549"/>
      <c r="Q111" s="545"/>
      <c r="R111" s="545"/>
      <c r="S111" s="550"/>
      <c r="T111" s="550"/>
    </row>
    <row r="112" spans="1:25" x14ac:dyDescent="0.25">
      <c r="A112" s="545"/>
      <c r="B112" s="545"/>
      <c r="C112" s="545"/>
      <c r="D112" s="286" t="s">
        <v>167</v>
      </c>
      <c r="E112" s="551"/>
      <c r="F112" s="545"/>
      <c r="G112" s="598">
        <f>G118</f>
        <v>838658112.35000002</v>
      </c>
      <c r="H112" s="596">
        <f>G112/G115</f>
        <v>0.81890513514275298</v>
      </c>
      <c r="I112" s="545"/>
      <c r="J112" s="286"/>
      <c r="K112" s="548"/>
      <c r="L112" s="545"/>
      <c r="M112" s="545"/>
      <c r="N112" s="545"/>
      <c r="O112" s="548"/>
      <c r="P112" s="549"/>
      <c r="Q112" s="545"/>
      <c r="R112" s="545"/>
      <c r="S112" s="552"/>
      <c r="T112" s="552"/>
    </row>
    <row r="113" spans="1:20" x14ac:dyDescent="0.25">
      <c r="A113" s="545" t="s">
        <v>246</v>
      </c>
      <c r="B113" s="545" t="s">
        <v>247</v>
      </c>
      <c r="C113" s="545"/>
      <c r="D113" s="286" t="s">
        <v>248</v>
      </c>
      <c r="E113" s="551"/>
      <c r="F113" s="545"/>
      <c r="G113" s="598">
        <f>G133</f>
        <v>184803995.55999997</v>
      </c>
      <c r="H113" s="596">
        <f>G113/G115</f>
        <v>0.18045129323905537</v>
      </c>
      <c r="I113" s="545"/>
      <c r="J113" s="286"/>
      <c r="K113" s="548"/>
      <c r="L113" s="545"/>
      <c r="M113" s="545"/>
      <c r="N113" s="545"/>
      <c r="O113" s="548"/>
      <c r="P113" s="549"/>
      <c r="Q113" s="545"/>
      <c r="R113" s="545"/>
      <c r="S113" s="552"/>
      <c r="T113" s="552"/>
    </row>
    <row r="114" spans="1:20" x14ac:dyDescent="0.25">
      <c r="A114" s="545">
        <v>2011</v>
      </c>
      <c r="B114" s="553" t="s">
        <v>249</v>
      </c>
      <c r="C114" s="545"/>
      <c r="D114" s="286"/>
      <c r="E114" s="551"/>
      <c r="F114" s="545"/>
      <c r="G114" s="598">
        <f>G141</f>
        <v>659095.34000000008</v>
      </c>
      <c r="H114" s="596">
        <f>G114/G115</f>
        <v>6.4357161819166746E-4</v>
      </c>
      <c r="I114" s="545"/>
      <c r="J114" s="286"/>
      <c r="K114" s="548"/>
      <c r="L114" s="545"/>
      <c r="M114" s="545"/>
      <c r="N114" s="545"/>
      <c r="O114" s="548"/>
      <c r="P114" s="549"/>
      <c r="Q114" s="545"/>
      <c r="R114" s="545"/>
      <c r="S114" s="552"/>
      <c r="T114" s="552"/>
    </row>
    <row r="115" spans="1:20" x14ac:dyDescent="0.25">
      <c r="A115" s="545">
        <v>2012</v>
      </c>
      <c r="B115" s="553" t="s">
        <v>250</v>
      </c>
      <c r="C115" s="545">
        <v>22.41</v>
      </c>
      <c r="D115" s="286"/>
      <c r="E115" s="551"/>
      <c r="F115" s="545"/>
      <c r="G115" s="600">
        <f>G112+G113+G114</f>
        <v>1024121203.25</v>
      </c>
      <c r="H115" s="596">
        <f>SUM(H112:H114)</f>
        <v>1</v>
      </c>
      <c r="I115" s="545"/>
      <c r="J115" s="286"/>
      <c r="K115" s="548"/>
      <c r="L115" s="545"/>
      <c r="M115" s="545"/>
      <c r="N115" s="545"/>
      <c r="O115" s="548"/>
      <c r="P115" s="549"/>
      <c r="Q115" s="545"/>
      <c r="R115" s="545"/>
      <c r="S115" s="552"/>
      <c r="T115" s="552"/>
    </row>
    <row r="116" spans="1:20" x14ac:dyDescent="0.25">
      <c r="A116" s="545">
        <v>2013</v>
      </c>
      <c r="B116" s="545" t="s">
        <v>251</v>
      </c>
      <c r="C116" s="545"/>
      <c r="D116" s="546"/>
      <c r="E116" s="545"/>
      <c r="F116" s="545"/>
      <c r="G116" s="293"/>
      <c r="H116" s="596"/>
      <c r="I116" s="545"/>
      <c r="J116" s="286"/>
      <c r="K116" s="548"/>
      <c r="L116" s="545"/>
      <c r="M116" s="545"/>
      <c r="N116" s="545"/>
      <c r="O116" s="548"/>
      <c r="P116" s="549"/>
      <c r="Q116" s="545"/>
      <c r="R116" s="545"/>
      <c r="S116" s="552"/>
      <c r="T116" s="552"/>
    </row>
    <row r="117" spans="1:20" ht="18.75" x14ac:dyDescent="0.3">
      <c r="A117" s="545">
        <v>2014</v>
      </c>
      <c r="B117" s="545" t="s">
        <v>252</v>
      </c>
      <c r="C117" s="546"/>
      <c r="D117" s="566" t="s">
        <v>325</v>
      </c>
      <c r="E117" s="566"/>
      <c r="F117" s="566"/>
      <c r="G117" s="630">
        <f>G118+G133+G141</f>
        <v>1024121203.25</v>
      </c>
      <c r="H117" s="596">
        <f t="shared" ref="H117:H141" si="11">G117/$G$115</f>
        <v>1</v>
      </c>
      <c r="I117" s="545"/>
      <c r="J117" s="545"/>
      <c r="M117" s="545"/>
      <c r="N117" s="546"/>
      <c r="O117" s="546"/>
      <c r="P117" s="556"/>
      <c r="Q117" s="546"/>
      <c r="R117" s="546"/>
      <c r="S117" s="552"/>
      <c r="T117" s="552"/>
    </row>
    <row r="118" spans="1:20" x14ac:dyDescent="0.25">
      <c r="A118" s="545">
        <v>2015</v>
      </c>
      <c r="B118" s="557" t="s">
        <v>255</v>
      </c>
      <c r="C118" s="286"/>
      <c r="D118" s="558" t="s">
        <v>235</v>
      </c>
      <c r="E118" s="559"/>
      <c r="F118" s="559"/>
      <c r="G118" s="630">
        <f>SUM(G119:G132)</f>
        <v>838658112.35000002</v>
      </c>
      <c r="H118" s="597">
        <f t="shared" si="11"/>
        <v>0.81890513514275298</v>
      </c>
      <c r="I118" s="548" t="s">
        <v>253</v>
      </c>
      <c r="J118" s="631" t="s">
        <v>254</v>
      </c>
      <c r="M118" s="545"/>
      <c r="N118" s="546"/>
      <c r="O118" s="546"/>
      <c r="P118" s="556"/>
      <c r="Q118" s="546"/>
      <c r="R118" s="546"/>
      <c r="S118" s="546"/>
      <c r="T118" s="546"/>
    </row>
    <row r="119" spans="1:20" x14ac:dyDescent="0.25">
      <c r="A119" s="545">
        <v>2016</v>
      </c>
      <c r="B119" s="557" t="s">
        <v>256</v>
      </c>
      <c r="C119" s="286"/>
      <c r="D119" s="560" t="s">
        <v>315</v>
      </c>
      <c r="E119" s="545"/>
      <c r="F119" s="545"/>
      <c r="G119" s="598">
        <f>G4</f>
        <v>166236628.22999999</v>
      </c>
      <c r="H119" s="597">
        <f t="shared" si="11"/>
        <v>0.16232124449963142</v>
      </c>
      <c r="I119" s="549">
        <v>1</v>
      </c>
      <c r="J119" s="549">
        <v>0.4</v>
      </c>
      <c r="M119" s="545"/>
      <c r="N119" s="546"/>
      <c r="O119" s="546"/>
      <c r="P119" s="556"/>
      <c r="Q119" s="546"/>
      <c r="R119" s="546"/>
      <c r="S119" s="546"/>
      <c r="T119" s="546"/>
    </row>
    <row r="120" spans="1:20" x14ac:dyDescent="0.25">
      <c r="A120" s="546">
        <v>2017</v>
      </c>
      <c r="B120" s="557" t="s">
        <v>314</v>
      </c>
      <c r="C120" s="286"/>
      <c r="D120" s="560" t="s">
        <v>276</v>
      </c>
      <c r="E120" s="545"/>
      <c r="F120" s="545"/>
      <c r="G120" s="598">
        <f>G15</f>
        <v>422230188.72000009</v>
      </c>
      <c r="H120" s="597">
        <f t="shared" si="11"/>
        <v>0.41228536952469358</v>
      </c>
      <c r="I120" s="549">
        <v>1</v>
      </c>
      <c r="J120" s="549">
        <v>0.5</v>
      </c>
      <c r="M120" s="545"/>
      <c r="N120" s="546"/>
      <c r="O120" s="546"/>
      <c r="P120" s="556"/>
      <c r="Q120" s="546"/>
      <c r="R120" s="546"/>
      <c r="S120" s="546"/>
      <c r="T120" s="546"/>
    </row>
    <row r="121" spans="1:20" x14ac:dyDescent="0.25">
      <c r="A121" s="546"/>
      <c r="B121" s="286"/>
      <c r="C121" s="286"/>
      <c r="D121" s="560" t="s">
        <v>277</v>
      </c>
      <c r="E121" s="545"/>
      <c r="F121" s="545"/>
      <c r="G121" s="598">
        <f>G29</f>
        <v>0</v>
      </c>
      <c r="H121" s="597">
        <f t="shared" si="11"/>
        <v>0</v>
      </c>
      <c r="I121" s="549">
        <v>1</v>
      </c>
      <c r="J121" s="549">
        <v>0</v>
      </c>
      <c r="M121" s="545"/>
      <c r="N121" s="546"/>
      <c r="O121" s="546"/>
      <c r="P121" s="556"/>
      <c r="Q121" s="546"/>
      <c r="R121" s="546"/>
      <c r="S121" s="546"/>
      <c r="T121" s="546"/>
    </row>
    <row r="122" spans="1:20" x14ac:dyDescent="0.25">
      <c r="A122" s="546"/>
      <c r="B122" s="286"/>
      <c r="C122" s="286"/>
      <c r="D122" s="561" t="s">
        <v>278</v>
      </c>
      <c r="E122" s="548"/>
      <c r="F122" s="548"/>
      <c r="G122" s="598">
        <f>G30</f>
        <v>0</v>
      </c>
      <c r="H122" s="597">
        <f t="shared" si="11"/>
        <v>0</v>
      </c>
      <c r="I122" s="549">
        <v>0.05</v>
      </c>
      <c r="J122" s="549">
        <v>0</v>
      </c>
      <c r="M122" s="545"/>
      <c r="N122" s="546"/>
      <c r="O122" s="546"/>
      <c r="P122" s="556"/>
      <c r="Q122" s="546"/>
      <c r="R122" s="546"/>
      <c r="S122" s="546"/>
      <c r="T122" s="546"/>
    </row>
    <row r="123" spans="1:20" x14ac:dyDescent="0.25">
      <c r="A123" s="546"/>
      <c r="B123" s="286"/>
      <c r="C123" s="286"/>
      <c r="D123" s="561" t="s">
        <v>279</v>
      </c>
      <c r="E123" s="548"/>
      <c r="F123" s="548"/>
      <c r="G123" s="598">
        <f>G31</f>
        <v>0</v>
      </c>
      <c r="H123" s="597">
        <f t="shared" si="11"/>
        <v>0</v>
      </c>
      <c r="I123" s="549">
        <v>0.6</v>
      </c>
      <c r="J123" s="549">
        <v>0.35</v>
      </c>
      <c r="M123" s="545"/>
      <c r="N123" s="546"/>
      <c r="O123" s="546"/>
      <c r="P123" s="556"/>
      <c r="Q123" s="546"/>
      <c r="R123" s="546"/>
      <c r="S123" s="546"/>
      <c r="T123" s="546"/>
    </row>
    <row r="124" spans="1:20" x14ac:dyDescent="0.25">
      <c r="A124" s="546"/>
      <c r="B124" s="286"/>
      <c r="C124" s="545"/>
      <c r="D124" s="560" t="s">
        <v>280</v>
      </c>
      <c r="E124" s="548"/>
      <c r="F124" s="548"/>
      <c r="G124" s="598">
        <f>G32</f>
        <v>0</v>
      </c>
      <c r="H124" s="597">
        <f t="shared" si="11"/>
        <v>0</v>
      </c>
      <c r="I124" s="549">
        <v>0.6</v>
      </c>
      <c r="J124" s="549">
        <v>0</v>
      </c>
      <c r="M124" s="545"/>
      <c r="N124" s="546"/>
      <c r="O124" s="546"/>
      <c r="P124" s="556"/>
      <c r="Q124" s="546"/>
      <c r="R124" s="546"/>
      <c r="S124" s="546"/>
      <c r="T124" s="546"/>
    </row>
    <row r="125" spans="1:20" x14ac:dyDescent="0.25">
      <c r="A125" s="546"/>
      <c r="B125" s="286"/>
      <c r="C125" s="548"/>
      <c r="D125" s="560" t="s">
        <v>281</v>
      </c>
      <c r="E125" s="286"/>
      <c r="F125" s="286"/>
      <c r="G125" s="598">
        <f>G33</f>
        <v>243110303.02000001</v>
      </c>
      <c r="H125" s="597">
        <f t="shared" si="11"/>
        <v>0.23738430788123613</v>
      </c>
      <c r="I125" s="549">
        <v>0.4</v>
      </c>
      <c r="J125" s="549">
        <v>0.3</v>
      </c>
      <c r="M125" s="545"/>
      <c r="N125" s="546"/>
      <c r="O125" s="546"/>
      <c r="P125" s="556"/>
      <c r="Q125" s="546"/>
      <c r="R125" s="546"/>
      <c r="S125" s="546"/>
      <c r="T125" s="546"/>
    </row>
    <row r="126" spans="1:20" x14ac:dyDescent="0.25">
      <c r="A126" s="546"/>
      <c r="B126" s="286"/>
      <c r="C126" s="548"/>
      <c r="D126" s="560" t="s">
        <v>282</v>
      </c>
      <c r="E126" s="286"/>
      <c r="F126" s="286"/>
      <c r="G126" s="598">
        <f>G49</f>
        <v>0</v>
      </c>
      <c r="H126" s="597">
        <f t="shared" si="11"/>
        <v>0</v>
      </c>
      <c r="I126" s="549">
        <v>0.4</v>
      </c>
      <c r="J126" s="549">
        <v>0</v>
      </c>
      <c r="K126" s="549"/>
      <c r="L126" s="549"/>
      <c r="M126" s="545"/>
      <c r="N126" s="546"/>
      <c r="O126" s="546"/>
      <c r="P126" s="556"/>
      <c r="Q126" s="546"/>
      <c r="R126" s="546"/>
      <c r="S126" s="546"/>
      <c r="T126" s="546"/>
    </row>
    <row r="127" spans="1:20" x14ac:dyDescent="0.25">
      <c r="A127" s="546"/>
      <c r="B127" s="286"/>
      <c r="C127" s="548"/>
      <c r="D127" s="560" t="s">
        <v>283</v>
      </c>
      <c r="E127" s="286"/>
      <c r="F127" s="286"/>
      <c r="G127" s="598">
        <f>G50</f>
        <v>0</v>
      </c>
      <c r="H127" s="597">
        <f t="shared" si="11"/>
        <v>0</v>
      </c>
      <c r="I127" s="549">
        <v>0.2</v>
      </c>
      <c r="J127" s="549">
        <v>0</v>
      </c>
      <c r="K127" s="549"/>
      <c r="L127" s="549"/>
      <c r="M127" s="545"/>
      <c r="N127" s="546"/>
      <c r="O127" s="546"/>
      <c r="P127" s="556"/>
      <c r="Q127" s="546"/>
      <c r="R127" s="546"/>
      <c r="S127" s="546"/>
      <c r="T127" s="546"/>
    </row>
    <row r="128" spans="1:20" x14ac:dyDescent="0.25">
      <c r="A128" s="546"/>
      <c r="B128" s="286"/>
      <c r="C128" s="548"/>
      <c r="D128" s="560" t="s">
        <v>284</v>
      </c>
      <c r="E128" s="286"/>
      <c r="F128" s="286"/>
      <c r="G128" s="598">
        <f>G51</f>
        <v>0</v>
      </c>
      <c r="H128" s="597">
        <f t="shared" si="11"/>
        <v>0</v>
      </c>
      <c r="I128" s="549">
        <v>0.15</v>
      </c>
      <c r="J128" s="549">
        <v>0</v>
      </c>
      <c r="K128" s="549"/>
      <c r="L128" s="549"/>
      <c r="M128" s="545"/>
      <c r="N128" s="546"/>
      <c r="O128" s="546"/>
      <c r="P128" s="556"/>
      <c r="Q128" s="546"/>
      <c r="R128" s="546"/>
      <c r="S128" s="546"/>
      <c r="T128" s="546"/>
    </row>
    <row r="129" spans="1:20" x14ac:dyDescent="0.25">
      <c r="A129" s="546"/>
      <c r="B129" s="286"/>
      <c r="C129" s="548"/>
      <c r="D129" s="560" t="s">
        <v>285</v>
      </c>
      <c r="E129" s="286"/>
      <c r="F129" s="286"/>
      <c r="G129" s="598">
        <f>G52</f>
        <v>0</v>
      </c>
      <c r="H129" s="597">
        <f t="shared" si="11"/>
        <v>0</v>
      </c>
      <c r="I129" s="549">
        <v>0.15</v>
      </c>
      <c r="J129" s="549">
        <v>0</v>
      </c>
      <c r="K129" s="549"/>
      <c r="L129" s="549"/>
      <c r="M129" s="545"/>
      <c r="N129" s="546"/>
      <c r="O129" s="546"/>
      <c r="P129" s="556"/>
      <c r="Q129" s="546"/>
      <c r="R129" s="546"/>
      <c r="S129" s="546"/>
      <c r="T129" s="546"/>
    </row>
    <row r="130" spans="1:20" x14ac:dyDescent="0.25">
      <c r="A130" s="546"/>
      <c r="B130" s="286"/>
      <c r="C130" s="548"/>
      <c r="D130" s="560" t="s">
        <v>286</v>
      </c>
      <c r="E130" s="286"/>
      <c r="F130" s="286"/>
      <c r="G130" s="598">
        <f>G53</f>
        <v>7080992.3800000008</v>
      </c>
      <c r="H130" s="597">
        <f t="shared" si="11"/>
        <v>6.9142132371918553E-3</v>
      </c>
      <c r="I130" s="549">
        <v>0.05</v>
      </c>
      <c r="J130" s="549">
        <v>0.02</v>
      </c>
      <c r="K130" s="549"/>
      <c r="L130" s="549"/>
      <c r="M130" s="545"/>
      <c r="N130" s="546"/>
      <c r="O130" s="546"/>
      <c r="P130" s="556"/>
      <c r="Q130" s="546"/>
      <c r="R130" s="546"/>
      <c r="S130" s="546"/>
      <c r="T130" s="546"/>
    </row>
    <row r="131" spans="1:20" x14ac:dyDescent="0.25">
      <c r="A131" s="546"/>
      <c r="B131" s="286"/>
      <c r="C131" s="548"/>
      <c r="D131" s="560" t="s">
        <v>287</v>
      </c>
      <c r="E131" s="286"/>
      <c r="F131" s="286"/>
      <c r="G131" s="598">
        <f>G57</f>
        <v>0</v>
      </c>
      <c r="H131" s="597">
        <f t="shared" si="11"/>
        <v>0</v>
      </c>
      <c r="I131" s="549">
        <v>0.05</v>
      </c>
      <c r="J131" s="549">
        <v>0.01</v>
      </c>
      <c r="K131" s="549"/>
      <c r="L131" s="549"/>
      <c r="M131" s="545"/>
      <c r="N131" s="546"/>
      <c r="O131" s="546"/>
      <c r="P131" s="556"/>
      <c r="Q131" s="546"/>
      <c r="R131" s="546"/>
      <c r="S131" s="546"/>
      <c r="T131" s="546"/>
    </row>
    <row r="132" spans="1:20" x14ac:dyDescent="0.25">
      <c r="A132" s="546"/>
      <c r="B132" s="286"/>
      <c r="C132" s="548"/>
      <c r="D132" s="560" t="s">
        <v>288</v>
      </c>
      <c r="E132" s="286"/>
      <c r="F132" s="286"/>
      <c r="G132" s="598">
        <f>G58</f>
        <v>0</v>
      </c>
      <c r="H132" s="597">
        <f t="shared" si="11"/>
        <v>0</v>
      </c>
      <c r="I132" s="549">
        <v>0.05</v>
      </c>
      <c r="J132" s="549">
        <v>0</v>
      </c>
      <c r="K132" s="549"/>
      <c r="L132" s="549"/>
      <c r="M132" s="545"/>
      <c r="N132" s="546"/>
      <c r="O132" s="546"/>
      <c r="P132" s="556"/>
      <c r="Q132" s="546"/>
      <c r="R132" s="546"/>
      <c r="S132" s="546"/>
      <c r="T132" s="546"/>
    </row>
    <row r="133" spans="1:20" x14ac:dyDescent="0.25">
      <c r="A133" s="546"/>
      <c r="B133" s="286"/>
      <c r="C133" s="548"/>
      <c r="D133" s="564" t="s">
        <v>275</v>
      </c>
      <c r="E133" s="565"/>
      <c r="F133" s="565"/>
      <c r="G133" s="598">
        <f>SUM(G134:G140)</f>
        <v>184803995.55999997</v>
      </c>
      <c r="H133" s="597">
        <f t="shared" si="11"/>
        <v>0.18045129323905537</v>
      </c>
      <c r="I133" s="549"/>
      <c r="J133" s="549"/>
      <c r="K133" s="549"/>
      <c r="L133" s="549"/>
      <c r="M133" s="545"/>
      <c r="N133" s="546"/>
      <c r="O133" s="546"/>
      <c r="P133" s="556"/>
      <c r="Q133" s="546"/>
      <c r="R133" s="546"/>
      <c r="S133" s="546"/>
      <c r="T133" s="546"/>
    </row>
    <row r="134" spans="1:20" x14ac:dyDescent="0.25">
      <c r="A134" s="546"/>
      <c r="B134" s="286"/>
      <c r="C134" s="548"/>
      <c r="D134" s="560" t="s">
        <v>290</v>
      </c>
      <c r="E134" s="286"/>
      <c r="F134" s="286"/>
      <c r="G134" s="598">
        <f>G59</f>
        <v>58667382.390000001</v>
      </c>
      <c r="H134" s="597">
        <f t="shared" si="11"/>
        <v>5.7285585147365224E-2</v>
      </c>
      <c r="I134" s="549">
        <v>0.3</v>
      </c>
      <c r="J134" s="549">
        <v>0.15</v>
      </c>
      <c r="K134" s="549"/>
      <c r="L134" s="549"/>
      <c r="M134" s="545"/>
      <c r="N134" s="546"/>
      <c r="O134" s="546"/>
      <c r="P134" s="556"/>
      <c r="Q134" s="546"/>
      <c r="R134" s="546"/>
      <c r="S134" s="546"/>
      <c r="T134" s="546"/>
    </row>
    <row r="135" spans="1:20" x14ac:dyDescent="0.25">
      <c r="A135" s="546"/>
      <c r="B135" s="286"/>
      <c r="C135" s="548"/>
      <c r="D135" s="560" t="s">
        <v>289</v>
      </c>
      <c r="E135" s="286"/>
      <c r="F135" s="286"/>
      <c r="G135" s="598">
        <f>G63</f>
        <v>0</v>
      </c>
      <c r="H135" s="597">
        <f t="shared" si="11"/>
        <v>0</v>
      </c>
      <c r="I135" s="549">
        <v>0.3</v>
      </c>
      <c r="J135" s="549">
        <v>0.02</v>
      </c>
      <c r="K135" s="549"/>
      <c r="L135" s="549"/>
      <c r="M135" s="545"/>
      <c r="N135" s="546"/>
      <c r="O135" s="546"/>
      <c r="P135" s="556"/>
      <c r="Q135" s="546"/>
      <c r="R135" s="546"/>
      <c r="S135" s="546"/>
      <c r="T135" s="546"/>
    </row>
    <row r="136" spans="1:20" x14ac:dyDescent="0.25">
      <c r="A136" s="546"/>
      <c r="B136" s="286"/>
      <c r="C136" s="548"/>
      <c r="D136" s="560" t="s">
        <v>291</v>
      </c>
      <c r="E136" s="286"/>
      <c r="F136" s="286"/>
      <c r="G136" s="598">
        <f>G65</f>
        <v>80315764.870000005</v>
      </c>
      <c r="H136" s="597">
        <f t="shared" si="11"/>
        <v>7.8424081656664993E-2</v>
      </c>
      <c r="I136" s="549">
        <v>0.2</v>
      </c>
      <c r="J136" s="549">
        <v>0.15</v>
      </c>
      <c r="K136" s="549"/>
      <c r="L136" s="549"/>
      <c r="M136" s="545"/>
      <c r="N136" s="546"/>
      <c r="O136" s="546"/>
      <c r="P136" s="556"/>
      <c r="Q136" s="546"/>
      <c r="R136" s="546"/>
      <c r="S136" s="546"/>
      <c r="T136" s="546"/>
    </row>
    <row r="137" spans="1:20" x14ac:dyDescent="0.25">
      <c r="A137" s="546"/>
      <c r="B137" s="286"/>
      <c r="C137" s="548"/>
      <c r="D137" s="560" t="s">
        <v>292</v>
      </c>
      <c r="E137" s="286"/>
      <c r="F137" s="286"/>
      <c r="G137" s="598">
        <f>G74</f>
        <v>0</v>
      </c>
      <c r="H137" s="597">
        <f t="shared" si="11"/>
        <v>0</v>
      </c>
      <c r="I137" s="549">
        <v>0.2</v>
      </c>
      <c r="J137" s="549">
        <v>0</v>
      </c>
      <c r="K137" s="549"/>
      <c r="L137" s="549"/>
      <c r="M137" s="545"/>
      <c r="N137" s="546"/>
      <c r="O137" s="546"/>
      <c r="P137" s="556"/>
      <c r="Q137" s="546"/>
      <c r="R137" s="546"/>
      <c r="S137" s="546"/>
      <c r="T137" s="546"/>
    </row>
    <row r="138" spans="1:20" x14ac:dyDescent="0.25">
      <c r="A138" s="546"/>
      <c r="B138" s="286"/>
      <c r="C138" s="548"/>
      <c r="D138" s="560" t="s">
        <v>293</v>
      </c>
      <c r="E138" s="286"/>
      <c r="F138" s="286"/>
      <c r="G138" s="598">
        <f>G75</f>
        <v>15431642.6</v>
      </c>
      <c r="H138" s="597">
        <f t="shared" si="11"/>
        <v>1.5068179968375242E-2</v>
      </c>
      <c r="I138" s="549">
        <v>0.1</v>
      </c>
      <c r="J138" s="549">
        <v>0.03</v>
      </c>
      <c r="K138" s="549"/>
      <c r="L138" s="549"/>
      <c r="M138" s="545"/>
      <c r="N138" s="546"/>
      <c r="O138" s="546"/>
      <c r="P138" s="556"/>
      <c r="Q138" s="546"/>
      <c r="R138" s="546"/>
      <c r="S138" s="546"/>
      <c r="T138" s="546"/>
    </row>
    <row r="139" spans="1:20" x14ac:dyDescent="0.25">
      <c r="A139" s="546"/>
      <c r="B139" s="286"/>
      <c r="C139" s="548"/>
      <c r="D139" s="560" t="s">
        <v>294</v>
      </c>
      <c r="E139" s="286"/>
      <c r="F139" s="286"/>
      <c r="G139" s="598">
        <f>G80</f>
        <v>15258775.539999999</v>
      </c>
      <c r="H139" s="597">
        <f t="shared" si="11"/>
        <v>1.4899384459160692E-2</v>
      </c>
      <c r="I139" s="549">
        <v>0.05</v>
      </c>
      <c r="J139" s="549">
        <v>0.03</v>
      </c>
      <c r="K139" s="549"/>
      <c r="L139" s="549"/>
      <c r="M139" s="545"/>
      <c r="N139" s="546"/>
      <c r="O139" s="546"/>
      <c r="P139" s="556"/>
      <c r="Q139" s="546"/>
      <c r="R139" s="546"/>
      <c r="S139" s="546"/>
      <c r="T139" s="546"/>
    </row>
    <row r="140" spans="1:20" x14ac:dyDescent="0.25">
      <c r="A140" s="546"/>
      <c r="B140" s="286"/>
      <c r="C140" s="548"/>
      <c r="D140" s="560" t="s">
        <v>295</v>
      </c>
      <c r="E140" s="286"/>
      <c r="F140" s="286"/>
      <c r="G140" s="598">
        <f>G84</f>
        <v>15130430.16</v>
      </c>
      <c r="H140" s="597">
        <f t="shared" si="11"/>
        <v>1.477406200748925E-2</v>
      </c>
      <c r="I140" s="549">
        <v>0.05</v>
      </c>
      <c r="J140" s="549">
        <v>0.03</v>
      </c>
      <c r="K140" s="549"/>
      <c r="L140" s="549"/>
      <c r="M140" s="545"/>
      <c r="N140" s="546"/>
      <c r="O140" s="546"/>
      <c r="P140" s="556"/>
      <c r="Q140" s="546"/>
      <c r="R140" s="546"/>
      <c r="S140" s="546"/>
      <c r="T140" s="546"/>
    </row>
    <row r="141" spans="1:20" x14ac:dyDescent="0.25">
      <c r="A141" s="546"/>
      <c r="B141" s="286"/>
      <c r="C141" s="548"/>
      <c r="D141" s="564" t="s">
        <v>159</v>
      </c>
      <c r="E141" s="565"/>
      <c r="F141" s="565"/>
      <c r="G141" s="598">
        <f>G87</f>
        <v>659095.34000000008</v>
      </c>
      <c r="H141" s="597">
        <f t="shared" si="11"/>
        <v>6.4357161819166746E-4</v>
      </c>
      <c r="I141" s="549"/>
      <c r="J141" s="549"/>
      <c r="K141" s="549"/>
      <c r="L141" s="549"/>
      <c r="M141" s="545"/>
      <c r="N141" s="546"/>
      <c r="O141" s="546"/>
      <c r="P141" s="556"/>
      <c r="Q141" s="546"/>
      <c r="R141" s="546"/>
      <c r="S141" s="546"/>
      <c r="T141" s="546"/>
    </row>
    <row r="142" spans="1:20" x14ac:dyDescent="0.25">
      <c r="A142" s="546"/>
      <c r="B142" s="286"/>
      <c r="C142" s="548"/>
      <c r="D142" s="560"/>
      <c r="E142" s="286"/>
      <c r="F142" s="286"/>
      <c r="G142" s="598"/>
      <c r="H142" s="597"/>
      <c r="I142" s="545"/>
      <c r="J142" s="549"/>
      <c r="K142" s="549"/>
      <c r="L142" s="549"/>
      <c r="M142" s="545"/>
      <c r="N142" s="546"/>
      <c r="O142" s="546"/>
      <c r="P142" s="556"/>
      <c r="Q142" s="546"/>
      <c r="R142" s="546"/>
      <c r="S142" s="546"/>
      <c r="T142" s="546"/>
    </row>
    <row r="143" spans="1:20" x14ac:dyDescent="0.25">
      <c r="A143" s="546"/>
      <c r="B143" s="546"/>
      <c r="C143" s="546"/>
      <c r="D143" s="546"/>
      <c r="E143" s="546"/>
      <c r="F143" s="546"/>
      <c r="G143" s="598"/>
      <c r="H143" s="597"/>
      <c r="I143" s="545"/>
      <c r="J143" s="545"/>
      <c r="K143" s="545"/>
      <c r="L143" s="545"/>
      <c r="M143" s="545"/>
      <c r="N143" s="546"/>
      <c r="O143" s="546"/>
      <c r="P143" s="556"/>
      <c r="Q143" s="546"/>
      <c r="R143" s="546"/>
      <c r="S143" s="546"/>
      <c r="T143" s="546"/>
    </row>
    <row r="144" spans="1:20" x14ac:dyDescent="0.25">
      <c r="A144" s="546"/>
      <c r="B144" s="546"/>
      <c r="C144" s="546"/>
      <c r="D144" s="546"/>
      <c r="E144" s="546"/>
      <c r="F144" s="546"/>
      <c r="G144" s="598"/>
      <c r="H144" s="597"/>
      <c r="I144" s="545"/>
      <c r="J144" s="545"/>
      <c r="K144" s="545"/>
      <c r="L144" s="545"/>
      <c r="M144" s="545"/>
      <c r="N144" s="546"/>
      <c r="O144" s="546"/>
      <c r="P144" s="556"/>
      <c r="Q144" s="546"/>
      <c r="R144" s="546"/>
      <c r="S144" s="546"/>
      <c r="T144" s="546"/>
    </row>
    <row r="145" spans="1:20" x14ac:dyDescent="0.25">
      <c r="A145" s="546"/>
      <c r="B145" s="546"/>
      <c r="C145" s="546"/>
      <c r="D145" s="546" t="s">
        <v>20</v>
      </c>
      <c r="E145" s="546"/>
      <c r="F145" s="546"/>
      <c r="G145" s="606">
        <f>G5+G6+G7+G8+G9+G10+G11+G12+G13+G14</f>
        <v>166236628.22999999</v>
      </c>
      <c r="H145" s="597">
        <f t="shared" ref="H145:H167" si="12">G145/$G$91</f>
        <v>0.16232124449963142</v>
      </c>
      <c r="I145" s="545"/>
      <c r="J145" s="545"/>
      <c r="K145" s="545"/>
      <c r="L145" s="545"/>
      <c r="M145" s="545"/>
      <c r="N145" s="546"/>
      <c r="O145" s="546"/>
      <c r="P145" s="556"/>
      <c r="Q145" s="546"/>
      <c r="R145" s="546"/>
      <c r="S145" s="546"/>
      <c r="T145" s="546"/>
    </row>
    <row r="146" spans="1:20" x14ac:dyDescent="0.25">
      <c r="A146" s="546"/>
      <c r="B146" s="546"/>
      <c r="C146" s="546"/>
      <c r="D146" s="546" t="s">
        <v>257</v>
      </c>
      <c r="E146" s="546"/>
      <c r="F146" s="546"/>
      <c r="G146" s="607">
        <f>G24+G25+G26+G27+G39+G64+G72</f>
        <v>281074366.25000006</v>
      </c>
      <c r="H146" s="597">
        <f t="shared" si="12"/>
        <v>0.27445420069228516</v>
      </c>
      <c r="I146" s="545"/>
      <c r="J146" s="545"/>
      <c r="K146" s="545"/>
      <c r="L146" s="545"/>
      <c r="M146" s="545"/>
      <c r="N146" s="546"/>
      <c r="O146" s="546"/>
      <c r="P146" s="556"/>
      <c r="Q146" s="546"/>
      <c r="R146" s="546"/>
      <c r="S146" s="546"/>
      <c r="T146" s="546"/>
    </row>
    <row r="147" spans="1:20" x14ac:dyDescent="0.25">
      <c r="A147" s="546"/>
      <c r="B147" s="546"/>
      <c r="C147" s="546"/>
      <c r="D147" s="546" t="s">
        <v>258</v>
      </c>
      <c r="E147" s="546"/>
      <c r="F147" s="546"/>
      <c r="G147" s="607">
        <f>G18+G19+G20+G21+G38</f>
        <v>140035962.14000002</v>
      </c>
      <c r="H147" s="597">
        <f t="shared" si="12"/>
        <v>0.13673768465646696</v>
      </c>
      <c r="I147" s="545"/>
      <c r="J147" s="545"/>
      <c r="K147" s="545"/>
      <c r="L147" s="545"/>
      <c r="M147" s="545"/>
      <c r="N147" s="546"/>
      <c r="O147" s="546"/>
      <c r="P147" s="556"/>
      <c r="Q147" s="546"/>
      <c r="R147" s="546"/>
      <c r="S147" s="546"/>
      <c r="T147" s="546"/>
    </row>
    <row r="148" spans="1:20" x14ac:dyDescent="0.25">
      <c r="A148" s="546"/>
      <c r="B148" s="546"/>
      <c r="C148" s="546"/>
      <c r="D148" s="546" t="s">
        <v>259</v>
      </c>
      <c r="E148" s="546"/>
      <c r="F148" s="546"/>
      <c r="G148" s="607">
        <f>G22+G41+G42+G43+G44+G60+G66+G78+G79</f>
        <v>107521305.33000001</v>
      </c>
      <c r="H148" s="597">
        <f>G148/$G$91</f>
        <v>0.10498884798868167</v>
      </c>
      <c r="I148" s="545"/>
      <c r="J148" s="545"/>
      <c r="K148" s="545"/>
      <c r="L148" s="545"/>
      <c r="M148" s="545"/>
      <c r="N148" s="546"/>
      <c r="O148" s="546"/>
      <c r="P148" s="556"/>
      <c r="Q148" s="546"/>
      <c r="R148" s="546"/>
      <c r="S148" s="546"/>
      <c r="T148" s="546"/>
    </row>
    <row r="149" spans="1:20" x14ac:dyDescent="0.25">
      <c r="A149" s="546"/>
      <c r="B149" s="546"/>
      <c r="C149" s="546"/>
      <c r="D149" s="546" t="s">
        <v>62</v>
      </c>
      <c r="E149" s="546"/>
      <c r="F149" s="546"/>
      <c r="G149" s="607">
        <f>G45+G46+G47+G48</f>
        <v>97757491.850000009</v>
      </c>
      <c r="H149" s="597">
        <f t="shared" si="12"/>
        <v>9.5455002337390585E-2</v>
      </c>
      <c r="I149" s="545"/>
      <c r="J149" s="545"/>
      <c r="K149" s="545"/>
      <c r="L149" s="545"/>
      <c r="M149" s="545"/>
      <c r="N149" s="546"/>
      <c r="O149" s="546"/>
      <c r="P149" s="556"/>
      <c r="Q149" s="546"/>
      <c r="R149" s="546"/>
      <c r="S149" s="546"/>
      <c r="T149" s="546"/>
    </row>
    <row r="150" spans="1:20" x14ac:dyDescent="0.25">
      <c r="A150" s="546"/>
      <c r="B150" s="546"/>
      <c r="C150" s="546"/>
      <c r="D150" s="546" t="s">
        <v>35</v>
      </c>
      <c r="E150" s="546"/>
      <c r="F150" s="546"/>
      <c r="G150" s="607">
        <f>G16+G17+G34+G35+G36+G37</f>
        <v>68601465.120000005</v>
      </c>
      <c r="H150" s="597">
        <f t="shared" si="12"/>
        <v>6.6985689684283964E-2</v>
      </c>
      <c r="I150" s="545"/>
      <c r="J150" s="545"/>
      <c r="K150" s="545"/>
      <c r="L150" s="545"/>
      <c r="M150" s="545"/>
      <c r="N150" s="546"/>
      <c r="O150" s="546"/>
      <c r="P150" s="556"/>
      <c r="Q150" s="546"/>
      <c r="R150" s="546"/>
      <c r="S150" s="546"/>
      <c r="T150" s="546"/>
    </row>
    <row r="151" spans="1:20" x14ac:dyDescent="0.25">
      <c r="A151" s="546"/>
      <c r="B151" s="546"/>
      <c r="C151" s="546"/>
      <c r="D151" s="546" t="s">
        <v>260</v>
      </c>
      <c r="E151" s="546"/>
      <c r="F151" s="546"/>
      <c r="G151" s="607">
        <f>G40+G68+G69+G70+G71</f>
        <v>51157959.500000007</v>
      </c>
      <c r="H151" s="597">
        <f t="shared" si="12"/>
        <v>4.9953032255999244E-2</v>
      </c>
      <c r="I151" s="545"/>
      <c r="J151" s="545"/>
      <c r="K151" s="545"/>
      <c r="L151" s="545"/>
      <c r="M151" s="545"/>
      <c r="N151" s="546"/>
      <c r="O151" s="546"/>
      <c r="P151" s="556"/>
      <c r="Q151" s="546"/>
      <c r="R151" s="546"/>
      <c r="S151" s="546"/>
      <c r="T151" s="546"/>
    </row>
    <row r="152" spans="1:20" x14ac:dyDescent="0.25">
      <c r="A152" s="546"/>
      <c r="B152" s="546"/>
      <c r="C152" s="546"/>
      <c r="D152" s="546" t="s">
        <v>265</v>
      </c>
      <c r="E152" s="546"/>
      <c r="F152" s="546"/>
      <c r="G152" s="606">
        <f>G76+G77+G62</f>
        <v>25998068.039999999</v>
      </c>
      <c r="H152" s="597">
        <f>G152/$G$91</f>
        <v>2.5385733600179709E-2</v>
      </c>
      <c r="I152" s="545"/>
      <c r="J152" s="545"/>
      <c r="K152" s="545"/>
      <c r="L152" s="545"/>
      <c r="M152" s="545"/>
      <c r="N152" s="546"/>
      <c r="O152" s="546"/>
      <c r="P152" s="556"/>
      <c r="Q152" s="546"/>
      <c r="R152" s="546"/>
      <c r="S152" s="546"/>
      <c r="T152" s="546"/>
    </row>
    <row r="153" spans="1:20" x14ac:dyDescent="0.25">
      <c r="A153" s="546"/>
      <c r="B153" s="546"/>
      <c r="C153" s="546"/>
      <c r="D153" s="546" t="s">
        <v>261</v>
      </c>
      <c r="E153" s="546"/>
      <c r="F153" s="546"/>
      <c r="G153" s="606">
        <f>G67</f>
        <v>23412838.68</v>
      </c>
      <c r="H153" s="597">
        <f t="shared" si="12"/>
        <v>2.2861394340533588E-2</v>
      </c>
      <c r="I153" s="545"/>
      <c r="J153" s="545"/>
      <c r="K153" s="545"/>
      <c r="L153" s="545"/>
      <c r="M153" s="545"/>
      <c r="N153" s="546"/>
      <c r="O153" s="546"/>
      <c r="P153" s="556"/>
      <c r="Q153" s="546"/>
      <c r="R153" s="546"/>
      <c r="S153" s="546"/>
      <c r="T153" s="546"/>
    </row>
    <row r="154" spans="1:20" x14ac:dyDescent="0.25">
      <c r="A154" s="546"/>
      <c r="B154" s="546"/>
      <c r="C154" s="546"/>
      <c r="D154" s="546" t="s">
        <v>46</v>
      </c>
      <c r="E154" s="546"/>
      <c r="F154" s="546"/>
      <c r="G154" s="606">
        <f>G23</f>
        <v>12598324.369999999</v>
      </c>
      <c r="H154" s="597">
        <f t="shared" si="12"/>
        <v>1.2301595094428096E-2</v>
      </c>
      <c r="I154" s="545"/>
      <c r="J154" s="545"/>
      <c r="K154" s="545"/>
      <c r="L154" s="545"/>
      <c r="M154" s="545"/>
      <c r="N154" s="546"/>
      <c r="O154" s="546"/>
      <c r="P154" s="556"/>
      <c r="Q154" s="546"/>
      <c r="R154" s="546"/>
      <c r="S154" s="546"/>
      <c r="T154" s="546"/>
    </row>
    <row r="155" spans="1:20" x14ac:dyDescent="0.25">
      <c r="A155" s="546"/>
      <c r="B155" s="546"/>
      <c r="C155" s="546"/>
      <c r="D155" s="546" t="s">
        <v>262</v>
      </c>
      <c r="E155" s="546"/>
      <c r="F155" s="546"/>
      <c r="G155" s="606">
        <f>G86</f>
        <v>9230430.1600000001</v>
      </c>
      <c r="H155" s="597">
        <f t="shared" si="12"/>
        <v>9.0130251484957721E-3</v>
      </c>
      <c r="I155" s="545"/>
      <c r="J155" s="545"/>
      <c r="K155" s="545"/>
      <c r="L155" s="545"/>
      <c r="M155" s="545"/>
      <c r="N155" s="546"/>
      <c r="O155" s="546"/>
      <c r="P155" s="556"/>
      <c r="Q155" s="546"/>
      <c r="R155" s="546"/>
      <c r="S155" s="546"/>
      <c r="T155" s="546"/>
    </row>
    <row r="156" spans="1:20" x14ac:dyDescent="0.25">
      <c r="A156" s="546"/>
      <c r="B156" s="546"/>
      <c r="C156" s="546"/>
      <c r="D156" s="546" t="s">
        <v>263</v>
      </c>
      <c r="E156" s="546"/>
      <c r="F156" s="546"/>
      <c r="G156" s="606">
        <f>G81</f>
        <v>14029388.289999999</v>
      </c>
      <c r="H156" s="597">
        <f t="shared" si="12"/>
        <v>1.369895305895279E-2</v>
      </c>
      <c r="I156" s="545"/>
      <c r="J156" s="545"/>
      <c r="K156" s="545"/>
      <c r="L156" s="545"/>
      <c r="M156" s="545"/>
      <c r="N156" s="546"/>
      <c r="O156" s="546"/>
      <c r="P156" s="556"/>
      <c r="Q156" s="546"/>
      <c r="R156" s="546"/>
      <c r="S156" s="546"/>
      <c r="T156" s="546"/>
    </row>
    <row r="157" spans="1:20" x14ac:dyDescent="0.25">
      <c r="A157" s="546"/>
      <c r="B157" s="546"/>
      <c r="C157" s="546"/>
      <c r="D157" s="546" t="s">
        <v>57</v>
      </c>
      <c r="E157" s="546"/>
      <c r="F157" s="546"/>
      <c r="G157" s="607">
        <f>G28</f>
        <v>7101831.4199999999</v>
      </c>
      <c r="H157" s="597">
        <f>G157/$G$91</f>
        <v>6.9345614537250815E-3</v>
      </c>
      <c r="I157" s="545"/>
      <c r="J157" s="545"/>
      <c r="K157" s="545"/>
      <c r="L157" s="545"/>
      <c r="M157" s="545"/>
      <c r="N157" s="546"/>
      <c r="O157" s="546"/>
      <c r="P157" s="556"/>
      <c r="Q157" s="546"/>
      <c r="R157" s="546"/>
      <c r="S157" s="546"/>
      <c r="T157" s="546"/>
    </row>
    <row r="158" spans="1:20" x14ac:dyDescent="0.25">
      <c r="A158" s="546"/>
      <c r="B158" s="546"/>
      <c r="C158" s="546"/>
      <c r="D158" s="546" t="s">
        <v>82</v>
      </c>
      <c r="E158" s="546"/>
      <c r="F158" s="546"/>
      <c r="G158" s="606">
        <f>G54</f>
        <v>6967841.0700000003</v>
      </c>
      <c r="H158" s="597">
        <f t="shared" si="12"/>
        <v>6.8037269884539909E-3</v>
      </c>
      <c r="I158" s="545"/>
      <c r="J158" s="545"/>
      <c r="K158" s="545"/>
      <c r="L158" s="545"/>
      <c r="M158" s="545"/>
      <c r="N158" s="546"/>
      <c r="O158" s="546"/>
      <c r="P158" s="556"/>
      <c r="Q158" s="546"/>
      <c r="R158" s="546"/>
      <c r="S158" s="546"/>
      <c r="T158" s="546"/>
    </row>
    <row r="159" spans="1:20" x14ac:dyDescent="0.25">
      <c r="A159" s="546"/>
      <c r="B159" s="546"/>
      <c r="C159" s="546"/>
      <c r="D159" s="546" t="s">
        <v>264</v>
      </c>
      <c r="E159" s="546"/>
      <c r="F159" s="546"/>
      <c r="G159" s="606">
        <f>G85</f>
        <v>5900000</v>
      </c>
      <c r="H159" s="597">
        <f t="shared" si="12"/>
        <v>5.7610368589934768E-3</v>
      </c>
      <c r="I159" s="545"/>
      <c r="J159" s="545"/>
      <c r="K159" s="545"/>
      <c r="L159" s="545"/>
      <c r="M159" s="545"/>
      <c r="N159" s="546"/>
      <c r="O159" s="546"/>
      <c r="P159" s="556"/>
      <c r="Q159" s="546"/>
      <c r="R159" s="546"/>
      <c r="S159" s="546"/>
      <c r="T159" s="546"/>
    </row>
    <row r="160" spans="1:20" x14ac:dyDescent="0.25">
      <c r="A160" s="546"/>
      <c r="B160" s="546"/>
      <c r="C160" s="546"/>
      <c r="D160" s="546" t="s">
        <v>266</v>
      </c>
      <c r="E160" s="546"/>
      <c r="F160" s="546"/>
      <c r="G160" s="606">
        <f>G73</f>
        <v>4495668.9000000004</v>
      </c>
      <c r="H160" s="597">
        <f t="shared" si="12"/>
        <v>4.3897820743611293E-3</v>
      </c>
      <c r="I160" s="545"/>
      <c r="J160" s="545"/>
      <c r="K160" s="545"/>
      <c r="L160" s="545"/>
      <c r="M160" s="545"/>
      <c r="N160" s="546"/>
      <c r="O160" s="546"/>
      <c r="P160" s="556"/>
      <c r="Q160" s="546"/>
      <c r="R160" s="546"/>
      <c r="S160" s="546"/>
      <c r="T160" s="546"/>
    </row>
    <row r="161" spans="1:20" x14ac:dyDescent="0.25">
      <c r="A161" s="546"/>
      <c r="B161" s="546"/>
      <c r="C161" s="546"/>
      <c r="D161" s="546" t="s">
        <v>267</v>
      </c>
      <c r="E161" s="546"/>
      <c r="F161" s="546"/>
      <c r="G161" s="607">
        <f>G83</f>
        <v>765299.27</v>
      </c>
      <c r="H161" s="597">
        <f t="shared" si="12"/>
        <v>7.4727411908996622E-4</v>
      </c>
      <c r="I161" s="545"/>
      <c r="J161" s="545"/>
      <c r="K161" s="545"/>
      <c r="L161" s="545"/>
      <c r="M161" s="545"/>
      <c r="N161" s="546"/>
      <c r="O161" s="546"/>
      <c r="P161" s="556"/>
      <c r="Q161" s="546"/>
      <c r="R161" s="546"/>
      <c r="S161" s="546"/>
      <c r="T161" s="546"/>
    </row>
    <row r="162" spans="1:20" x14ac:dyDescent="0.25">
      <c r="A162" s="546"/>
      <c r="B162" s="546"/>
      <c r="C162" s="546"/>
      <c r="D162" s="546" t="s">
        <v>268</v>
      </c>
      <c r="E162" s="546"/>
      <c r="F162" s="546"/>
      <c r="G162" s="607">
        <f>G82</f>
        <v>464087.98</v>
      </c>
      <c r="H162" s="597">
        <f t="shared" si="12"/>
        <v>4.5315728111793686E-4</v>
      </c>
      <c r="I162" s="545"/>
      <c r="J162" s="545"/>
      <c r="K162" s="545"/>
      <c r="L162" s="545"/>
      <c r="M162" s="545"/>
      <c r="N162" s="546"/>
      <c r="O162" s="546"/>
      <c r="P162" s="556"/>
      <c r="Q162" s="546"/>
      <c r="R162" s="546"/>
      <c r="S162" s="546"/>
      <c r="T162" s="546"/>
    </row>
    <row r="163" spans="1:20" x14ac:dyDescent="0.25">
      <c r="A163" s="546"/>
      <c r="B163" s="546"/>
      <c r="C163" s="546"/>
      <c r="D163" s="546" t="s">
        <v>269</v>
      </c>
      <c r="E163" s="546"/>
      <c r="F163" s="546"/>
      <c r="G163" s="607">
        <f>G56</f>
        <v>73406.490000000005</v>
      </c>
      <c r="H163" s="597">
        <f t="shared" si="12"/>
        <v>7.1677541454124766E-5</v>
      </c>
      <c r="I163" s="545"/>
      <c r="J163" s="545"/>
      <c r="K163" s="545"/>
      <c r="L163" s="545"/>
      <c r="M163" s="545"/>
      <c r="N163" s="546"/>
      <c r="O163" s="546"/>
      <c r="P163" s="556"/>
      <c r="Q163" s="546"/>
      <c r="R163" s="546"/>
      <c r="S163" s="546"/>
      <c r="T163" s="546"/>
    </row>
    <row r="164" spans="1:20" x14ac:dyDescent="0.25">
      <c r="A164" s="546"/>
      <c r="B164" s="546"/>
      <c r="C164" s="546"/>
      <c r="D164" s="546" t="s">
        <v>86</v>
      </c>
      <c r="E164" s="546"/>
      <c r="F164" s="546"/>
      <c r="G164" s="607">
        <f>G55</f>
        <v>39744.82</v>
      </c>
      <c r="H164" s="597">
        <f t="shared" si="12"/>
        <v>3.880870728373917E-5</v>
      </c>
      <c r="I164" s="545"/>
      <c r="J164" s="545"/>
      <c r="K164" s="545"/>
      <c r="L164" s="545"/>
      <c r="M164" s="545"/>
      <c r="N164" s="546"/>
      <c r="O164" s="546"/>
      <c r="P164" s="556"/>
      <c r="Q164" s="546"/>
      <c r="R164" s="546"/>
      <c r="S164" s="546"/>
      <c r="T164" s="546"/>
    </row>
    <row r="165" spans="1:20" x14ac:dyDescent="0.25">
      <c r="A165" s="546"/>
      <c r="B165" s="546"/>
      <c r="C165" s="546"/>
      <c r="D165" s="546" t="s">
        <v>97</v>
      </c>
      <c r="E165" s="546"/>
      <c r="F165" s="546"/>
      <c r="G165" s="606">
        <f>G61</f>
        <v>0</v>
      </c>
      <c r="H165" s="597">
        <f>G165/$G$91</f>
        <v>0</v>
      </c>
      <c r="I165" s="545"/>
      <c r="J165" s="545"/>
      <c r="K165" s="545"/>
      <c r="L165" s="545"/>
      <c r="M165" s="545"/>
      <c r="N165" s="546"/>
      <c r="O165" s="546"/>
      <c r="P165" s="556"/>
      <c r="Q165" s="546"/>
      <c r="R165" s="546"/>
      <c r="S165" s="546"/>
      <c r="T165" s="546"/>
    </row>
    <row r="166" spans="1:20" x14ac:dyDescent="0.25">
      <c r="A166" s="546"/>
      <c r="B166" s="546"/>
      <c r="C166" s="546"/>
      <c r="D166" s="546"/>
      <c r="E166" s="546"/>
      <c r="F166" s="546"/>
      <c r="G166" s="595"/>
      <c r="H166" s="597">
        <f t="shared" si="12"/>
        <v>0</v>
      </c>
      <c r="I166" s="545"/>
      <c r="J166" s="545"/>
      <c r="K166" s="545"/>
      <c r="L166" s="545"/>
      <c r="M166" s="545"/>
      <c r="N166" s="546"/>
      <c r="O166" s="546"/>
      <c r="P166" s="556"/>
      <c r="Q166" s="546"/>
      <c r="R166" s="546"/>
      <c r="S166" s="546"/>
      <c r="T166" s="546"/>
    </row>
    <row r="167" spans="1:20" x14ac:dyDescent="0.25">
      <c r="A167" s="546"/>
      <c r="B167" s="546"/>
      <c r="C167" s="546"/>
      <c r="D167" s="546" t="s">
        <v>270</v>
      </c>
      <c r="E167" s="546"/>
      <c r="F167" s="546"/>
      <c r="G167" s="606">
        <f>G87</f>
        <v>659095.34000000008</v>
      </c>
      <c r="H167" s="597">
        <f t="shared" si="12"/>
        <v>6.4357161819166746E-4</v>
      </c>
      <c r="I167" s="545"/>
      <c r="J167" s="545"/>
      <c r="K167" s="545"/>
      <c r="L167" s="545"/>
      <c r="M167" s="545"/>
      <c r="N167" s="546"/>
      <c r="O167" s="546"/>
      <c r="P167" s="556"/>
      <c r="Q167" s="546"/>
      <c r="R167" s="546"/>
      <c r="S167" s="546"/>
      <c r="T167" s="546"/>
    </row>
    <row r="168" spans="1:20" ht="15.75" thickBot="1" x14ac:dyDescent="0.3">
      <c r="A168" s="546"/>
      <c r="B168" s="546"/>
      <c r="C168" s="546"/>
      <c r="D168" s="546"/>
      <c r="E168" s="546"/>
      <c r="F168" s="546"/>
      <c r="G168" s="595"/>
      <c r="H168" s="597"/>
      <c r="I168" s="545"/>
      <c r="J168" s="545"/>
      <c r="K168" s="545"/>
      <c r="L168" s="545"/>
      <c r="M168" s="545"/>
      <c r="N168" s="546"/>
      <c r="O168" s="546"/>
      <c r="P168" s="556"/>
      <c r="Q168" s="546"/>
      <c r="R168" s="546"/>
      <c r="S168" s="546"/>
      <c r="T168" s="546"/>
    </row>
    <row r="169" spans="1:20" ht="15.75" thickBot="1" x14ac:dyDescent="0.3">
      <c r="A169" s="546"/>
      <c r="B169" s="546"/>
      <c r="C169" s="546"/>
      <c r="D169" s="546"/>
      <c r="E169" s="562"/>
      <c r="F169" s="546"/>
      <c r="G169" s="608">
        <f>SUM(G145:G168)</f>
        <v>1024121203.25</v>
      </c>
      <c r="H169" s="597">
        <f>SUM(H145:H168)</f>
        <v>0.99999999999999989</v>
      </c>
      <c r="I169" s="545"/>
      <c r="J169" s="545"/>
      <c r="K169" s="545"/>
      <c r="L169" s="545"/>
      <c r="M169" s="545"/>
      <c r="N169" s="546"/>
      <c r="O169" s="546"/>
      <c r="P169" s="556"/>
      <c r="Q169" s="546"/>
      <c r="R169" s="546"/>
      <c r="S169" s="546"/>
      <c r="T169" s="546"/>
    </row>
    <row r="170" spans="1:20" x14ac:dyDescent="0.25">
      <c r="A170" s="546"/>
      <c r="B170" s="546"/>
      <c r="C170" s="546"/>
      <c r="D170" s="546"/>
      <c r="E170" s="546"/>
      <c r="F170" s="546"/>
      <c r="G170" s="598"/>
      <c r="H170" s="597"/>
      <c r="I170" s="545"/>
      <c r="J170" s="545"/>
      <c r="K170" s="545"/>
      <c r="L170" s="545"/>
      <c r="M170" s="632"/>
      <c r="N170" s="546"/>
      <c r="O170" s="546"/>
      <c r="P170" s="556"/>
      <c r="Q170" s="546"/>
      <c r="R170" s="546"/>
      <c r="S170" s="546"/>
      <c r="T170" s="546"/>
    </row>
    <row r="171" spans="1:20" x14ac:dyDescent="0.25">
      <c r="A171" s="546"/>
      <c r="B171" s="546"/>
      <c r="C171" s="546"/>
      <c r="D171" s="546" t="s">
        <v>271</v>
      </c>
      <c r="E171" s="556">
        <f>G171/G104</f>
        <v>0.19821739727072943</v>
      </c>
      <c r="F171" s="546"/>
      <c r="G171" s="554">
        <f>G5+G6+G7+G8+G9+G10+G11+G12+G13+G14</f>
        <v>166236628.22999999</v>
      </c>
      <c r="H171" s="549">
        <f>G171/G179</f>
        <v>0.19940895830125635</v>
      </c>
      <c r="I171" s="545"/>
      <c r="J171" s="545"/>
      <c r="K171" s="545"/>
      <c r="L171" s="545"/>
      <c r="M171" s="545"/>
      <c r="N171" s="546"/>
      <c r="O171" s="546"/>
      <c r="P171" s="556"/>
      <c r="Q171" s="546"/>
      <c r="R171" s="546"/>
      <c r="S171" s="546"/>
      <c r="T171" s="546"/>
    </row>
    <row r="172" spans="1:20" x14ac:dyDescent="0.25">
      <c r="A172" s="546"/>
      <c r="B172" s="546"/>
      <c r="C172" s="546"/>
      <c r="D172" s="546" t="s">
        <v>141</v>
      </c>
      <c r="E172" s="556">
        <f>G172/G104</f>
        <v>0.16904912593373067</v>
      </c>
      <c r="F172" s="546"/>
      <c r="G172" s="554">
        <f>G23+G38+G39+G47+G28</f>
        <v>141774420.84999999</v>
      </c>
      <c r="H172" s="549">
        <f>G172/G179</f>
        <v>0.17006534526402564</v>
      </c>
      <c r="I172" s="545"/>
      <c r="J172" s="545"/>
      <c r="K172" s="545"/>
      <c r="L172" s="545"/>
      <c r="M172" s="545"/>
      <c r="N172" s="546"/>
      <c r="O172" s="546"/>
      <c r="P172" s="556"/>
      <c r="Q172" s="546"/>
      <c r="R172" s="546"/>
      <c r="S172" s="546"/>
      <c r="T172" s="546"/>
    </row>
    <row r="173" spans="1:20" x14ac:dyDescent="0.25">
      <c r="A173" s="546"/>
      <c r="B173" s="546"/>
      <c r="C173" s="546"/>
      <c r="D173" s="546" t="s">
        <v>272</v>
      </c>
      <c r="E173" s="556">
        <f>G173/G104</f>
        <v>0.27248962261826742</v>
      </c>
      <c r="F173" s="546"/>
      <c r="G173" s="554">
        <f>G16+G20+G21+G22+G24+G27+G45+G46</f>
        <v>228525632.54000002</v>
      </c>
      <c r="H173" s="549">
        <f>G173/G179</f>
        <v>0.27412766256837057</v>
      </c>
      <c r="I173" s="545"/>
      <c r="J173" s="545"/>
      <c r="K173" s="545"/>
      <c r="L173" s="545"/>
      <c r="M173" s="545"/>
      <c r="N173" s="546"/>
      <c r="O173" s="546"/>
      <c r="P173" s="556"/>
      <c r="Q173" s="546"/>
      <c r="R173" s="546"/>
      <c r="S173" s="546"/>
      <c r="T173" s="546"/>
    </row>
    <row r="174" spans="1:20" x14ac:dyDescent="0.25">
      <c r="A174" s="546"/>
      <c r="B174" s="546"/>
      <c r="C174" s="546"/>
      <c r="D174" s="546" t="s">
        <v>273</v>
      </c>
      <c r="E174" s="556">
        <f>G174/G104</f>
        <v>4.1735325413978279E-2</v>
      </c>
      <c r="F174" s="546"/>
      <c r="G174" s="554">
        <f>G41+G42</f>
        <v>35001669.230000004</v>
      </c>
      <c r="H174" s="549">
        <f>G174/G179</f>
        <v>4.1986212510895071E-2</v>
      </c>
      <c r="I174" s="545"/>
      <c r="J174" s="545"/>
      <c r="K174" s="545"/>
      <c r="L174" s="545"/>
      <c r="M174" s="545"/>
      <c r="N174" s="546"/>
      <c r="O174" s="546"/>
      <c r="P174" s="556"/>
      <c r="Q174" s="546"/>
      <c r="R174" s="546"/>
      <c r="S174" s="546"/>
      <c r="T174" s="546"/>
    </row>
    <row r="175" spans="1:20" x14ac:dyDescent="0.25">
      <c r="A175" s="546"/>
      <c r="B175" s="546"/>
      <c r="C175" s="546"/>
      <c r="D175" s="546" t="s">
        <v>138</v>
      </c>
      <c r="E175" s="556">
        <f>G175/G104</f>
        <v>0.24443916668923402</v>
      </c>
      <c r="F175" s="546"/>
      <c r="G175" s="554">
        <f>G18+G19+G25+G26</f>
        <v>205000890.12</v>
      </c>
      <c r="H175" s="549">
        <f>G175/G179</f>
        <v>0.24590858455755338</v>
      </c>
      <c r="I175" s="545"/>
      <c r="J175" s="545"/>
      <c r="K175" s="545"/>
      <c r="L175" s="545"/>
      <c r="M175" s="545"/>
      <c r="N175" s="546"/>
      <c r="O175" s="546"/>
      <c r="P175" s="556"/>
      <c r="Q175" s="546"/>
      <c r="R175" s="546"/>
      <c r="S175" s="546"/>
      <c r="T175" s="546"/>
    </row>
    <row r="176" spans="1:20" x14ac:dyDescent="0.25">
      <c r="A176" s="546"/>
      <c r="B176" s="546"/>
      <c r="C176" s="546"/>
      <c r="D176" s="546" t="s">
        <v>274</v>
      </c>
      <c r="E176" s="556">
        <f>G176/G104</f>
        <v>5.9650657393417385E-2</v>
      </c>
      <c r="F176" s="546"/>
      <c r="G176" s="554">
        <f>G34+G35+G36+G37+G40+G43+G44+G48</f>
        <v>50026507.729999997</v>
      </c>
      <c r="H176" s="549">
        <f>G176/G179</f>
        <v>6.0009240443008288E-2</v>
      </c>
      <c r="I176" s="545"/>
      <c r="J176" s="545"/>
      <c r="K176" s="545"/>
      <c r="L176" s="545"/>
      <c r="M176" s="545"/>
      <c r="N176" s="546"/>
      <c r="O176" s="546"/>
      <c r="P176" s="556"/>
      <c r="Q176" s="546"/>
      <c r="R176" s="546"/>
      <c r="S176" s="546"/>
      <c r="T176" s="546"/>
    </row>
    <row r="177" spans="1:20" x14ac:dyDescent="0.25">
      <c r="A177" s="546"/>
      <c r="B177" s="546"/>
      <c r="C177" s="546"/>
      <c r="D177" s="546" t="s">
        <v>316</v>
      </c>
      <c r="E177" s="556">
        <f>G177/G105</f>
        <v>3.8316229898292586E-2</v>
      </c>
      <c r="F177" s="546"/>
      <c r="G177" s="554">
        <f>G54+G55+G56</f>
        <v>7080992.3800000008</v>
      </c>
      <c r="H177" s="549">
        <f>G177/G179</f>
        <v>8.4939963548906639E-3</v>
      </c>
      <c r="I177" s="545"/>
      <c r="J177" s="545"/>
      <c r="K177" s="545"/>
      <c r="L177" s="545"/>
      <c r="M177" s="545"/>
      <c r="N177" s="546"/>
      <c r="O177" s="546"/>
      <c r="P177" s="556"/>
      <c r="Q177" s="546"/>
      <c r="R177" s="546"/>
      <c r="S177" s="546"/>
      <c r="T177" s="546"/>
    </row>
    <row r="178" spans="1:20" x14ac:dyDescent="0.25">
      <c r="A178" s="546"/>
      <c r="B178" s="546"/>
      <c r="C178" s="546"/>
      <c r="D178" s="546"/>
      <c r="E178" s="556"/>
      <c r="F178" s="546"/>
      <c r="G178" s="554"/>
      <c r="H178" s="549"/>
      <c r="I178" s="545"/>
      <c r="J178" s="545"/>
      <c r="K178" s="545"/>
      <c r="L178" s="545"/>
      <c r="M178" s="545"/>
      <c r="N178" s="546"/>
      <c r="O178" s="546"/>
      <c r="P178" s="556"/>
      <c r="Q178" s="546"/>
      <c r="R178" s="546"/>
      <c r="S178" s="546"/>
      <c r="T178" s="546"/>
    </row>
    <row r="179" spans="1:20" x14ac:dyDescent="0.25">
      <c r="A179" s="546"/>
      <c r="B179" s="546"/>
      <c r="C179" s="546"/>
      <c r="D179" s="546"/>
      <c r="E179" s="556">
        <f>E171+E172+E173+E174+E175+E176</f>
        <v>0.98558129531935712</v>
      </c>
      <c r="F179" s="546"/>
      <c r="G179" s="554">
        <f>SUM(G171:G178)</f>
        <v>833646741.08000004</v>
      </c>
      <c r="H179" s="549">
        <f>SUM(H171:H178)</f>
        <v>0.99999999999999989</v>
      </c>
      <c r="I179" s="632">
        <f>G179/G169</f>
        <v>0.8140117970748596</v>
      </c>
      <c r="J179" s="545"/>
      <c r="K179" s="545"/>
      <c r="L179" s="545"/>
      <c r="M179" s="545"/>
      <c r="N179" s="546"/>
      <c r="O179" s="546"/>
      <c r="P179" s="556"/>
      <c r="Q179" s="546"/>
      <c r="R179" s="546"/>
      <c r="S179" s="546"/>
      <c r="T179" s="546"/>
    </row>
    <row r="180" spans="1:20" x14ac:dyDescent="0.25">
      <c r="A180" s="546"/>
      <c r="B180" s="546"/>
      <c r="C180" s="546"/>
      <c r="D180" s="546"/>
      <c r="E180" s="546"/>
      <c r="F180" s="546"/>
      <c r="G180" s="554"/>
      <c r="H180" s="549"/>
      <c r="I180" s="545"/>
      <c r="J180" s="545"/>
      <c r="K180" s="545"/>
      <c r="L180" s="545"/>
      <c r="M180" s="545"/>
      <c r="N180" s="546"/>
      <c r="O180" s="546"/>
      <c r="P180" s="556"/>
      <c r="Q180" s="546"/>
      <c r="R180" s="546"/>
      <c r="S180" s="546"/>
      <c r="T180" s="546"/>
    </row>
    <row r="181" spans="1:20" x14ac:dyDescent="0.25">
      <c r="A181" s="546"/>
      <c r="B181" s="546"/>
      <c r="C181" s="546"/>
      <c r="D181" s="546"/>
      <c r="E181" s="546"/>
      <c r="F181" s="546"/>
      <c r="G181" s="554"/>
      <c r="H181" s="549"/>
      <c r="I181" s="545"/>
      <c r="J181" s="545"/>
      <c r="K181" s="545"/>
      <c r="L181" s="545"/>
      <c r="M181" s="545"/>
      <c r="N181" s="546"/>
      <c r="O181" s="546"/>
      <c r="P181" s="556"/>
      <c r="Q181" s="546"/>
      <c r="R181" s="546"/>
      <c r="S181" s="546"/>
      <c r="T181" s="546"/>
    </row>
    <row r="182" spans="1:20" x14ac:dyDescent="0.25">
      <c r="A182" s="546"/>
      <c r="B182" s="546"/>
      <c r="C182" s="546"/>
      <c r="D182" s="546"/>
      <c r="E182" s="546"/>
      <c r="F182" s="546"/>
      <c r="G182" s="554"/>
      <c r="H182" s="549"/>
      <c r="I182" s="545"/>
      <c r="J182" s="545"/>
      <c r="K182" s="545"/>
      <c r="L182" s="545"/>
      <c r="M182" s="545"/>
      <c r="N182" s="546"/>
      <c r="O182" s="546"/>
      <c r="P182" s="556"/>
      <c r="Q182" s="546"/>
      <c r="R182" s="546"/>
      <c r="S182" s="546"/>
    </row>
  </sheetData>
  <mergeCells count="48">
    <mergeCell ref="S5:S14"/>
    <mergeCell ref="P3:R3"/>
    <mergeCell ref="O5:O14"/>
    <mergeCell ref="P5:P14"/>
    <mergeCell ref="Q5:Q14"/>
    <mergeCell ref="R5:R14"/>
    <mergeCell ref="O34:O48"/>
    <mergeCell ref="P34:P48"/>
    <mergeCell ref="Q34:Q48"/>
    <mergeCell ref="R34:R48"/>
    <mergeCell ref="S34:S48"/>
    <mergeCell ref="O16:O28"/>
    <mergeCell ref="P16:P28"/>
    <mergeCell ref="Q16:Q28"/>
    <mergeCell ref="R16:R28"/>
    <mergeCell ref="S16:S28"/>
    <mergeCell ref="O60:O62"/>
    <mergeCell ref="P60:P62"/>
    <mergeCell ref="Q60:Q62"/>
    <mergeCell ref="S60:S62"/>
    <mergeCell ref="R60:R62"/>
    <mergeCell ref="O54:O56"/>
    <mergeCell ref="P54:P56"/>
    <mergeCell ref="Q54:Q56"/>
    <mergeCell ref="R54:R56"/>
    <mergeCell ref="S54:S56"/>
    <mergeCell ref="O76:O79"/>
    <mergeCell ref="P76:P79"/>
    <mergeCell ref="Q76:Q79"/>
    <mergeCell ref="R76:R79"/>
    <mergeCell ref="S76:S79"/>
    <mergeCell ref="O66:O73"/>
    <mergeCell ref="P66:P73"/>
    <mergeCell ref="Q66:Q73"/>
    <mergeCell ref="R66:R73"/>
    <mergeCell ref="S66:S73"/>
    <mergeCell ref="R81:R83"/>
    <mergeCell ref="S81:S83"/>
    <mergeCell ref="O85:O86"/>
    <mergeCell ref="P85:P86"/>
    <mergeCell ref="Q85:Q86"/>
    <mergeCell ref="R85:R86"/>
    <mergeCell ref="S85:S86"/>
    <mergeCell ref="O88:O89"/>
    <mergeCell ref="P88:P90"/>
    <mergeCell ref="O81:O83"/>
    <mergeCell ref="P81:P83"/>
    <mergeCell ref="Q81:Q83"/>
  </mergeCells>
  <printOptions horizontalCentered="1"/>
  <pageMargins left="0" right="0" top="0" bottom="0" header="0.19685039370078741" footer="0.39370078740157483"/>
  <pageSetup paperSize="9" scale="6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topLeftCell="A91" zoomScaleNormal="100" workbookViewId="0">
      <selection activeCell="G116" sqref="G116"/>
    </sheetView>
  </sheetViews>
  <sheetFormatPr defaultRowHeight="15" x14ac:dyDescent="0.25"/>
  <cols>
    <col min="1" max="1" width="5" customWidth="1"/>
    <col min="2" max="2" width="30.140625" customWidth="1"/>
    <col min="3" max="3" width="0.28515625" customWidth="1"/>
    <col min="4" max="4" width="38.28515625" customWidth="1"/>
    <col min="5" max="5" width="7.7109375" bestFit="1" customWidth="1"/>
    <col min="6" max="6" width="6.28515625" customWidth="1"/>
    <col min="7" max="7" width="25.140625" style="1" bestFit="1" customWidth="1"/>
    <col min="8" max="8" width="11.5703125" style="291" customWidth="1"/>
    <col min="9" max="9" width="10.85546875" style="1" customWidth="1"/>
    <col min="10" max="10" width="7.5703125" style="1" customWidth="1"/>
    <col min="11" max="11" width="7.7109375" style="1" customWidth="1"/>
    <col min="12" max="12" width="9.140625" style="1" customWidth="1"/>
    <col min="13" max="13" width="14" style="294" bestFit="1" customWidth="1"/>
    <col min="14" max="14" width="8.140625" style="300" bestFit="1" customWidth="1"/>
    <col min="15" max="15" width="13.5703125" customWidth="1"/>
    <col min="16" max="16" width="6.85546875" customWidth="1"/>
    <col min="17" max="17" width="5.5703125" customWidth="1"/>
    <col min="18" max="18" width="5.85546875" customWidth="1"/>
    <col min="19" max="19" width="23.7109375" bestFit="1" customWidth="1"/>
    <col min="20" max="24" width="14.42578125" style="7" customWidth="1"/>
    <col min="25" max="25" width="14.42578125" customWidth="1"/>
  </cols>
  <sheetData>
    <row r="1" spans="1:25" ht="16.5" customHeight="1" thickBot="1" x14ac:dyDescent="0.3">
      <c r="A1" s="1"/>
      <c r="B1" s="2" t="s">
        <v>323</v>
      </c>
      <c r="C1" s="3"/>
      <c r="D1" s="3"/>
      <c r="E1" s="3"/>
      <c r="F1" s="3"/>
      <c r="G1" s="3"/>
      <c r="H1" s="4"/>
      <c r="I1" s="3"/>
      <c r="J1" s="3"/>
      <c r="K1" s="3"/>
      <c r="L1" s="3"/>
      <c r="M1" s="5"/>
      <c r="N1" s="4"/>
      <c r="O1" s="3"/>
      <c r="P1" s="3"/>
      <c r="Q1" s="3"/>
      <c r="R1" s="3"/>
      <c r="S1" s="6"/>
    </row>
    <row r="2" spans="1:25" ht="15.75" customHeight="1" thickBot="1" x14ac:dyDescent="0.3">
      <c r="A2" s="8"/>
      <c r="B2" s="9" t="s">
        <v>0</v>
      </c>
      <c r="C2" s="10" t="s">
        <v>1</v>
      </c>
      <c r="D2" s="10" t="s">
        <v>2</v>
      </c>
      <c r="E2" s="11" t="s">
        <v>3</v>
      </c>
      <c r="F2" s="12" t="s">
        <v>3</v>
      </c>
      <c r="G2" s="13" t="s">
        <v>4</v>
      </c>
      <c r="H2" s="14"/>
      <c r="I2" s="15" t="s">
        <v>5</v>
      </c>
      <c r="J2" s="16"/>
      <c r="K2" s="16"/>
      <c r="L2" s="17"/>
      <c r="M2" s="18" t="s">
        <v>6</v>
      </c>
      <c r="N2" s="14"/>
      <c r="O2" s="19" t="s">
        <v>7</v>
      </c>
      <c r="P2" s="20" t="s">
        <v>8</v>
      </c>
      <c r="Q2" s="21"/>
      <c r="R2" s="22"/>
      <c r="S2" s="23" t="s">
        <v>9</v>
      </c>
      <c r="T2" s="7" t="s">
        <v>10</v>
      </c>
    </row>
    <row r="3" spans="1:25" ht="15.75" thickBot="1" x14ac:dyDescent="0.3">
      <c r="A3" s="8"/>
      <c r="B3" s="24"/>
      <c r="C3" s="25"/>
      <c r="D3" s="26"/>
      <c r="E3" s="27"/>
      <c r="F3" s="28"/>
      <c r="G3" s="29" t="s">
        <v>11</v>
      </c>
      <c r="H3" s="30" t="s">
        <v>12</v>
      </c>
      <c r="I3" s="31" t="s">
        <v>13</v>
      </c>
      <c r="J3" s="32" t="s">
        <v>14</v>
      </c>
      <c r="K3" s="33" t="s">
        <v>15</v>
      </c>
      <c r="L3" s="34"/>
      <c r="M3" s="35" t="s">
        <v>16</v>
      </c>
      <c r="N3" s="36" t="s">
        <v>17</v>
      </c>
      <c r="O3" s="37"/>
      <c r="P3" s="766" t="s">
        <v>18</v>
      </c>
      <c r="Q3" s="767"/>
      <c r="R3" s="768"/>
      <c r="S3" s="38" t="s">
        <v>19</v>
      </c>
      <c r="T3" s="39"/>
      <c r="U3" s="39"/>
      <c r="V3" s="39"/>
      <c r="W3" s="39"/>
      <c r="X3" s="39"/>
      <c r="Y3" s="39"/>
    </row>
    <row r="4" spans="1:25" s="53" customFormat="1" ht="12" customHeight="1" thickBot="1" x14ac:dyDescent="0.25">
      <c r="A4" s="40"/>
      <c r="B4" s="334" t="s">
        <v>163</v>
      </c>
      <c r="C4" s="335"/>
      <c r="D4" s="336"/>
      <c r="E4" s="336"/>
      <c r="F4" s="336"/>
      <c r="G4" s="582">
        <f>SUM(G5:G14)</f>
        <v>168060590.05000001</v>
      </c>
      <c r="H4" s="43">
        <f t="shared" ref="H4:H28" si="0">G4/$G$90</f>
        <v>0.1631670953690102</v>
      </c>
      <c r="I4" s="44"/>
      <c r="J4" s="44"/>
      <c r="K4" s="44"/>
      <c r="L4" s="44"/>
      <c r="M4" s="45"/>
      <c r="N4" s="46"/>
      <c r="O4" s="47"/>
      <c r="P4" s="48"/>
      <c r="Q4" s="49"/>
      <c r="R4" s="646"/>
      <c r="S4" s="51"/>
      <c r="T4" s="52"/>
      <c r="U4" s="52"/>
      <c r="V4" s="52"/>
      <c r="W4" s="52"/>
      <c r="X4" s="52"/>
      <c r="Y4" s="52"/>
    </row>
    <row r="5" spans="1:25" s="1" customFormat="1" ht="16.5" customHeight="1" x14ac:dyDescent="0.25">
      <c r="A5" s="8">
        <v>1</v>
      </c>
      <c r="B5" s="54" t="s">
        <v>21</v>
      </c>
      <c r="C5" s="55" t="s">
        <v>22</v>
      </c>
      <c r="D5" s="56" t="s">
        <v>23</v>
      </c>
      <c r="E5" s="57"/>
      <c r="F5" s="57"/>
      <c r="G5" s="384">
        <f>'[1]FFIN2 Março 2018'!$G$5</f>
        <v>26106284.57</v>
      </c>
      <c r="H5" s="58">
        <f t="shared" si="0"/>
        <v>2.5346136312483506E-2</v>
      </c>
      <c r="I5" s="363">
        <f>'[1]FFIN2 Março 2018'!$I$5</f>
        <v>1.0200000000000001E-2</v>
      </c>
      <c r="J5" s="59" t="s">
        <v>24</v>
      </c>
      <c r="K5" s="59"/>
      <c r="L5" s="60"/>
      <c r="M5" s="61">
        <v>0</v>
      </c>
      <c r="N5" s="62"/>
      <c r="O5" s="769" t="s">
        <v>20</v>
      </c>
      <c r="P5" s="772">
        <f>SUM(G5:G14)/G90</f>
        <v>0.1631670953690102</v>
      </c>
      <c r="Q5" s="775">
        <v>1</v>
      </c>
      <c r="R5" s="778">
        <v>0.4</v>
      </c>
      <c r="S5" s="763" t="s">
        <v>169</v>
      </c>
      <c r="T5" s="63"/>
      <c r="U5" s="64"/>
      <c r="V5" s="63"/>
      <c r="W5" s="63"/>
      <c r="X5" s="63"/>
      <c r="Y5" s="65"/>
    </row>
    <row r="6" spans="1:25" s="1" customFormat="1" ht="18.75" thickBot="1" x14ac:dyDescent="0.3">
      <c r="A6" s="8">
        <v>2</v>
      </c>
      <c r="B6" s="66" t="s">
        <v>21</v>
      </c>
      <c r="C6" s="67" t="s">
        <v>22</v>
      </c>
      <c r="D6" s="68" t="s">
        <v>25</v>
      </c>
      <c r="E6" s="68"/>
      <c r="F6" s="69"/>
      <c r="G6" s="384">
        <f>'[1]FFIN2 Março 2018'!$G$6</f>
        <v>11572067.93</v>
      </c>
      <c r="H6" s="58">
        <f t="shared" si="0"/>
        <v>1.1235118899613636E-2</v>
      </c>
      <c r="I6" s="358">
        <f>'[1]FFIN2 Março 2018'!$I$6</f>
        <v>1.9400000000000001E-2</v>
      </c>
      <c r="J6" s="72" t="s">
        <v>26</v>
      </c>
      <c r="K6" s="73"/>
      <c r="L6" s="74"/>
      <c r="M6" s="75"/>
      <c r="N6" s="76"/>
      <c r="O6" s="770"/>
      <c r="P6" s="773"/>
      <c r="Q6" s="776"/>
      <c r="R6" s="779"/>
      <c r="S6" s="764"/>
      <c r="T6" s="63"/>
      <c r="U6" s="64"/>
      <c r="V6" s="63"/>
      <c r="W6" s="63"/>
      <c r="X6" s="63"/>
      <c r="Y6" s="65"/>
    </row>
    <row r="7" spans="1:25" s="1" customFormat="1" ht="18" x14ac:dyDescent="0.25">
      <c r="A7" s="8">
        <v>3</v>
      </c>
      <c r="B7" s="54" t="s">
        <v>21</v>
      </c>
      <c r="C7" s="55" t="s">
        <v>22</v>
      </c>
      <c r="D7" s="56" t="s">
        <v>27</v>
      </c>
      <c r="E7" s="77"/>
      <c r="F7" s="68"/>
      <c r="G7" s="362">
        <f>'[1]FFIN2 Março 2018'!$G$7</f>
        <v>25649699.5</v>
      </c>
      <c r="H7" s="58">
        <f t="shared" si="0"/>
        <v>2.4902845832314467E-2</v>
      </c>
      <c r="I7" s="358">
        <f>'[1]FFIN2 Março 2018'!$I$7</f>
        <v>2.0199999999999999E-2</v>
      </c>
      <c r="J7" s="59" t="s">
        <v>28</v>
      </c>
      <c r="K7" s="79"/>
      <c r="L7" s="80">
        <f>'[1]FFIN2 Março 2018'!$L$7</f>
        <v>1.0329999999999999</v>
      </c>
      <c r="M7" s="81"/>
      <c r="N7" s="82"/>
      <c r="O7" s="770"/>
      <c r="P7" s="773"/>
      <c r="Q7" s="776"/>
      <c r="R7" s="779"/>
      <c r="S7" s="764"/>
      <c r="T7" s="63"/>
      <c r="U7" s="64"/>
      <c r="V7" s="63"/>
      <c r="W7" s="63"/>
      <c r="X7" s="63"/>
      <c r="Y7" s="65"/>
    </row>
    <row r="8" spans="1:25" s="1" customFormat="1" ht="18.75" thickBot="1" x14ac:dyDescent="0.3">
      <c r="A8" s="8">
        <v>4</v>
      </c>
      <c r="B8" s="54" t="s">
        <v>21</v>
      </c>
      <c r="C8" s="67" t="s">
        <v>22</v>
      </c>
      <c r="D8" s="83" t="s">
        <v>29</v>
      </c>
      <c r="E8" s="83"/>
      <c r="F8" s="68"/>
      <c r="G8" s="357">
        <f>'[1]FFIN2 Março 2018'!$G$8</f>
        <v>29507499.210000001</v>
      </c>
      <c r="H8" s="58">
        <f t="shared" si="0"/>
        <v>2.8648316278472228E-2</v>
      </c>
      <c r="I8" s="358">
        <f>'[1]FFIN2 Março 2018'!$I$8</f>
        <v>5.1000000000000004E-3</v>
      </c>
      <c r="J8" s="84" t="s">
        <v>30</v>
      </c>
      <c r="K8" s="79"/>
      <c r="L8" s="85"/>
      <c r="M8" s="75"/>
      <c r="N8" s="76"/>
      <c r="O8" s="770"/>
      <c r="P8" s="773"/>
      <c r="Q8" s="776"/>
      <c r="R8" s="779"/>
      <c r="S8" s="764"/>
      <c r="T8" s="63"/>
      <c r="U8" s="64"/>
      <c r="V8" s="63"/>
      <c r="W8" s="63"/>
      <c r="X8" s="63"/>
      <c r="Y8" s="65"/>
    </row>
    <row r="9" spans="1:25" s="1" customFormat="1" ht="18" x14ac:dyDescent="0.25">
      <c r="A9" s="8">
        <v>5</v>
      </c>
      <c r="B9" s="66" t="s">
        <v>21</v>
      </c>
      <c r="C9" s="368" t="s">
        <v>22</v>
      </c>
      <c r="D9" s="83" t="s">
        <v>31</v>
      </c>
      <c r="E9" s="83"/>
      <c r="F9" s="77"/>
      <c r="G9" s="362">
        <f>'[1]FFIN2 Março 2018'!$G$9</f>
        <v>11976573.210000001</v>
      </c>
      <c r="H9" s="58">
        <f t="shared" si="0"/>
        <v>1.1627846020108643E-2</v>
      </c>
      <c r="I9" s="415">
        <f>'[1]FFIN2 Março 2018'!$I$9</f>
        <v>5.1000000000000004E-3</v>
      </c>
      <c r="J9" s="369" t="s">
        <v>32</v>
      </c>
      <c r="K9" s="370"/>
      <c r="L9" s="371"/>
      <c r="M9" s="75"/>
      <c r="N9" s="86"/>
      <c r="O9" s="770"/>
      <c r="P9" s="773"/>
      <c r="Q9" s="776"/>
      <c r="R9" s="779"/>
      <c r="S9" s="764"/>
      <c r="T9" s="63"/>
      <c r="U9" s="64"/>
      <c r="V9" s="63"/>
      <c r="W9" s="63"/>
      <c r="X9" s="63"/>
      <c r="Y9" s="65"/>
    </row>
    <row r="10" spans="1:25" s="1" customFormat="1" ht="18" x14ac:dyDescent="0.25">
      <c r="A10" s="8">
        <v>6</v>
      </c>
      <c r="B10" s="54" t="s">
        <v>21</v>
      </c>
      <c r="C10" s="136" t="s">
        <v>22</v>
      </c>
      <c r="D10" s="68" t="s">
        <v>33</v>
      </c>
      <c r="E10" s="68"/>
      <c r="F10" s="68"/>
      <c r="G10" s="384">
        <f>'[1]FFIN2 Março 2018'!$G$10</f>
        <v>20828822.969999999</v>
      </c>
      <c r="H10" s="58">
        <f t="shared" si="0"/>
        <v>2.022234090073766E-2</v>
      </c>
      <c r="I10" s="358">
        <f>'[1]FFIN2 Março 2018'!$I$10</f>
        <v>5.1000000000000004E-3</v>
      </c>
      <c r="J10" s="72" t="s">
        <v>34</v>
      </c>
      <c r="K10" s="79"/>
      <c r="L10" s="79"/>
      <c r="M10" s="61"/>
      <c r="N10" s="76"/>
      <c r="O10" s="770"/>
      <c r="P10" s="773"/>
      <c r="Q10" s="776"/>
      <c r="R10" s="779"/>
      <c r="S10" s="764"/>
      <c r="T10" s="64"/>
      <c r="U10" s="64"/>
      <c r="V10" s="63"/>
      <c r="W10" s="64"/>
      <c r="X10" s="64"/>
      <c r="Y10" s="90"/>
    </row>
    <row r="11" spans="1:25" s="1" customFormat="1" ht="18" x14ac:dyDescent="0.25">
      <c r="A11" s="8"/>
      <c r="B11" s="372" t="s">
        <v>192</v>
      </c>
      <c r="C11" s="55" t="s">
        <v>22</v>
      </c>
      <c r="D11" s="56" t="s">
        <v>187</v>
      </c>
      <c r="E11" s="56"/>
      <c r="F11" s="56"/>
      <c r="G11" s="357">
        <f>'[2]FFPREV Março 2018'!$G$5</f>
        <v>13053142.279999999</v>
      </c>
      <c r="H11" s="58">
        <f t="shared" si="0"/>
        <v>1.2673068151387339E-2</v>
      </c>
      <c r="I11" s="373">
        <f>'[2]FFPREV Março 2018'!$I$5</f>
        <v>1.0200000000000001E-2</v>
      </c>
      <c r="J11" s="359" t="s">
        <v>24</v>
      </c>
      <c r="K11" s="359"/>
      <c r="L11" s="374"/>
      <c r="M11" s="153"/>
      <c r="N11" s="375"/>
      <c r="O11" s="770"/>
      <c r="P11" s="773"/>
      <c r="Q11" s="776"/>
      <c r="R11" s="779"/>
      <c r="S11" s="764"/>
      <c r="T11" s="64"/>
      <c r="U11" s="64"/>
      <c r="V11" s="63"/>
      <c r="W11" s="64"/>
      <c r="X11" s="64"/>
      <c r="Y11" s="90"/>
    </row>
    <row r="12" spans="1:25" s="1" customFormat="1" ht="18.75" thickBot="1" x14ac:dyDescent="0.3">
      <c r="A12" s="8"/>
      <c r="B12" s="361" t="s">
        <v>192</v>
      </c>
      <c r="C12" s="67" t="s">
        <v>22</v>
      </c>
      <c r="D12" s="68" t="s">
        <v>188</v>
      </c>
      <c r="E12" s="83"/>
      <c r="F12" s="83"/>
      <c r="G12" s="362">
        <f>'[2]FFPREV Março 2018'!$G$6</f>
        <v>6749920.9199999999</v>
      </c>
      <c r="H12" s="58">
        <f t="shared" si="0"/>
        <v>6.553380481166036E-3</v>
      </c>
      <c r="I12" s="363">
        <f>'[2]FFPREV Março 2018'!$I$6</f>
        <v>2.0199999999999999E-2</v>
      </c>
      <c r="J12" s="351" t="s">
        <v>26</v>
      </c>
      <c r="K12" s="352"/>
      <c r="L12" s="353"/>
      <c r="M12" s="153"/>
      <c r="N12" s="76"/>
      <c r="O12" s="770"/>
      <c r="P12" s="773"/>
      <c r="Q12" s="776"/>
      <c r="R12" s="779"/>
      <c r="S12" s="764"/>
      <c r="T12" s="64"/>
      <c r="U12" s="64"/>
      <c r="V12" s="63"/>
      <c r="W12" s="64"/>
      <c r="X12" s="64"/>
      <c r="Y12" s="90"/>
    </row>
    <row r="13" spans="1:25" s="1" customFormat="1" ht="18.75" thickBot="1" x14ac:dyDescent="0.3">
      <c r="A13" s="8"/>
      <c r="B13" s="361" t="s">
        <v>192</v>
      </c>
      <c r="C13" s="67" t="s">
        <v>22</v>
      </c>
      <c r="D13" s="68" t="s">
        <v>189</v>
      </c>
      <c r="E13" s="83"/>
      <c r="F13" s="83"/>
      <c r="G13" s="364">
        <f>'[2]FFPREV Março 2018'!$G$7</f>
        <v>11507873.880000001</v>
      </c>
      <c r="H13" s="58">
        <f t="shared" si="0"/>
        <v>1.1172794016216781E-2</v>
      </c>
      <c r="I13" s="358">
        <f>'[2]FFPREV Março 2018'!$I$7</f>
        <v>1.66E-2</v>
      </c>
      <c r="J13" s="354" t="s">
        <v>190</v>
      </c>
      <c r="K13" s="352"/>
      <c r="L13" s="360"/>
      <c r="M13" s="153"/>
      <c r="N13" s="76"/>
      <c r="O13" s="770"/>
      <c r="P13" s="773"/>
      <c r="Q13" s="776"/>
      <c r="R13" s="779"/>
      <c r="S13" s="764"/>
      <c r="T13" s="64"/>
      <c r="U13" s="64"/>
      <c r="V13" s="63"/>
      <c r="W13" s="64"/>
      <c r="X13" s="64"/>
      <c r="Y13" s="90"/>
    </row>
    <row r="14" spans="1:25" s="1" customFormat="1" ht="18.75" thickBot="1" x14ac:dyDescent="0.3">
      <c r="A14" s="8"/>
      <c r="B14" s="365" t="s">
        <v>193</v>
      </c>
      <c r="C14" s="67" t="s">
        <v>22</v>
      </c>
      <c r="D14" s="88" t="s">
        <v>191</v>
      </c>
      <c r="E14" s="88"/>
      <c r="F14" s="88"/>
      <c r="G14" s="366">
        <f>'[2]FFPREV Março 2018'!$G$8</f>
        <v>11108705.58</v>
      </c>
      <c r="H14" s="58">
        <f t="shared" si="0"/>
        <v>1.078524847650989E-2</v>
      </c>
      <c r="I14" s="367">
        <f>'[2]FFPREV Março 2018'!$I$8</f>
        <v>5.1000000000000004E-3</v>
      </c>
      <c r="J14" s="355" t="s">
        <v>30</v>
      </c>
      <c r="K14" s="355"/>
      <c r="L14" s="356"/>
      <c r="M14" s="170"/>
      <c r="N14" s="76"/>
      <c r="O14" s="771"/>
      <c r="P14" s="774"/>
      <c r="Q14" s="777"/>
      <c r="R14" s="780"/>
      <c r="S14" s="765"/>
      <c r="T14" s="64"/>
      <c r="U14" s="64"/>
      <c r="V14" s="63"/>
      <c r="W14" s="64"/>
      <c r="X14" s="64"/>
      <c r="Y14" s="90"/>
    </row>
    <row r="15" spans="1:25" s="53" customFormat="1" ht="18.75" thickBot="1" x14ac:dyDescent="0.25">
      <c r="A15" s="40"/>
      <c r="B15" s="334" t="s">
        <v>164</v>
      </c>
      <c r="C15" s="335"/>
      <c r="D15" s="336"/>
      <c r="E15" s="336"/>
      <c r="F15" s="336"/>
      <c r="G15" s="582">
        <f>SUM(G16:G28)</f>
        <v>435156206.25999999</v>
      </c>
      <c r="H15" s="58">
        <f t="shared" si="0"/>
        <v>0.42248557015132343</v>
      </c>
      <c r="I15" s="91"/>
      <c r="J15" s="92"/>
      <c r="K15" s="92"/>
      <c r="L15" s="44"/>
      <c r="M15" s="93"/>
      <c r="N15" s="131"/>
      <c r="O15" s="572"/>
      <c r="P15" s="320"/>
      <c r="Q15" s="643"/>
      <c r="R15" s="643"/>
      <c r="S15" s="573"/>
      <c r="T15" s="52"/>
      <c r="U15" s="52"/>
      <c r="V15" s="52"/>
      <c r="W15" s="52"/>
      <c r="X15" s="52"/>
      <c r="Y15" s="52"/>
    </row>
    <row r="16" spans="1:25" s="1" customFormat="1" ht="15.75" customHeight="1" thickBot="1" x14ac:dyDescent="0.3">
      <c r="A16" s="8">
        <v>7</v>
      </c>
      <c r="B16" s="636" t="s">
        <v>35</v>
      </c>
      <c r="C16" s="98" t="s">
        <v>36</v>
      </c>
      <c r="D16" s="99" t="s">
        <v>37</v>
      </c>
      <c r="E16" s="438" t="s">
        <v>38</v>
      </c>
      <c r="F16" s="100" t="s">
        <v>39</v>
      </c>
      <c r="G16" s="583">
        <f>'[1]FFIN2 Março 2018'!$G$12</f>
        <v>53604310.280000001</v>
      </c>
      <c r="H16" s="199">
        <f t="shared" si="0"/>
        <v>5.2043489821406663E-2</v>
      </c>
      <c r="I16" s="432">
        <f>'[1]FFIN2 Março 2018'!$I$12</f>
        <v>1.6E-2</v>
      </c>
      <c r="J16" s="637"/>
      <c r="K16" s="144"/>
      <c r="L16" s="145" t="s">
        <v>40</v>
      </c>
      <c r="M16" s="638">
        <f>'[1]FFIN2 Março 2018'!$M$12</f>
        <v>1290858853.55</v>
      </c>
      <c r="N16" s="106">
        <f t="shared" ref="N16:N28" si="1">G16/M16</f>
        <v>4.1526081749822925E-2</v>
      </c>
      <c r="O16" s="781" t="s">
        <v>41</v>
      </c>
      <c r="P16" s="784">
        <f>(SUM(G16:G28)/G90)</f>
        <v>0.42248557015132343</v>
      </c>
      <c r="Q16" s="787">
        <v>1</v>
      </c>
      <c r="R16" s="790">
        <v>0.5</v>
      </c>
      <c r="S16" s="793" t="s">
        <v>296</v>
      </c>
      <c r="T16" s="64"/>
      <c r="U16" s="64"/>
      <c r="V16" s="63"/>
      <c r="W16" s="64"/>
      <c r="X16" s="64"/>
      <c r="Y16" s="90"/>
    </row>
    <row r="17" spans="1:25" s="1" customFormat="1" ht="15.75" customHeight="1" thickBot="1" x14ac:dyDescent="0.3">
      <c r="A17" s="8"/>
      <c r="B17" s="54" t="s">
        <v>322</v>
      </c>
      <c r="C17" s="98" t="s">
        <v>36</v>
      </c>
      <c r="D17" s="83" t="s">
        <v>37</v>
      </c>
      <c r="E17" s="110" t="s">
        <v>38</v>
      </c>
      <c r="F17" s="115" t="s">
        <v>39</v>
      </c>
      <c r="G17" s="384">
        <f>'[2]FFPREV Março 2018'!$G$10</f>
        <v>9756783.5</v>
      </c>
      <c r="H17" s="207">
        <f t="shared" si="0"/>
        <v>9.4726909108533448E-3</v>
      </c>
      <c r="I17" s="358">
        <f>'[2]FFPREV Março 2018'!$I$10</f>
        <v>1.6E-2</v>
      </c>
      <c r="J17" s="111"/>
      <c r="K17" s="147"/>
      <c r="L17" s="118" t="s">
        <v>40</v>
      </c>
      <c r="M17" s="445">
        <f>'[2]FFPREV Março 2018'!$M$10</f>
        <v>1290858853.55</v>
      </c>
      <c r="N17" s="128">
        <f t="shared" si="1"/>
        <v>7.5583658687143071E-3</v>
      </c>
      <c r="O17" s="782"/>
      <c r="P17" s="785"/>
      <c r="Q17" s="788"/>
      <c r="R17" s="791"/>
      <c r="S17" s="794"/>
      <c r="T17" s="64"/>
      <c r="U17" s="64"/>
      <c r="V17" s="63"/>
      <c r="W17" s="64"/>
      <c r="X17" s="64"/>
      <c r="Y17" s="90"/>
    </row>
    <row r="18" spans="1:25" s="1" customFormat="1" ht="15.75" customHeight="1" thickBot="1" x14ac:dyDescent="0.3">
      <c r="A18" s="8">
        <v>8</v>
      </c>
      <c r="B18" s="107" t="s">
        <v>42</v>
      </c>
      <c r="C18" s="108" t="s">
        <v>43</v>
      </c>
      <c r="D18" s="56" t="s">
        <v>44</v>
      </c>
      <c r="E18" s="109" t="s">
        <v>38</v>
      </c>
      <c r="F18" s="110" t="s">
        <v>39</v>
      </c>
      <c r="G18" s="384">
        <f>'[1]FFIN2 Março 2018'!$G$13</f>
        <v>29949248.640000001</v>
      </c>
      <c r="H18" s="102">
        <f t="shared" si="0"/>
        <v>2.9077203094545954E-2</v>
      </c>
      <c r="I18" s="376">
        <f>'[1]FFIN2 Março 2018'!$I$13</f>
        <v>1.3011E-2</v>
      </c>
      <c r="J18" s="111"/>
      <c r="K18" s="112"/>
      <c r="L18" s="113" t="s">
        <v>45</v>
      </c>
      <c r="M18" s="418">
        <f>'[1]FFIN2 Março 2018'!$M$13</f>
        <v>5461875715.0200005</v>
      </c>
      <c r="N18" s="114">
        <f t="shared" si="1"/>
        <v>5.4833266450279037E-3</v>
      </c>
      <c r="O18" s="782"/>
      <c r="P18" s="785"/>
      <c r="Q18" s="788"/>
      <c r="R18" s="791"/>
      <c r="S18" s="794"/>
      <c r="T18" s="64"/>
      <c r="U18" s="64"/>
      <c r="V18" s="63"/>
      <c r="W18" s="64"/>
      <c r="X18" s="64"/>
      <c r="Y18" s="90"/>
    </row>
    <row r="19" spans="1:25" s="1" customFormat="1" ht="15.75" customHeight="1" thickBot="1" x14ac:dyDescent="0.3">
      <c r="A19" s="8"/>
      <c r="B19" s="107" t="s">
        <v>194</v>
      </c>
      <c r="C19" s="108" t="s">
        <v>43</v>
      </c>
      <c r="D19" s="56" t="s">
        <v>44</v>
      </c>
      <c r="E19" s="109" t="s">
        <v>38</v>
      </c>
      <c r="F19" s="110" t="s">
        <v>39</v>
      </c>
      <c r="G19" s="357">
        <f>'[2]FFPREV Março 2018'!$G$11</f>
        <v>17956501.23</v>
      </c>
      <c r="H19" s="102">
        <f t="shared" si="0"/>
        <v>1.7433653825786738E-2</v>
      </c>
      <c r="I19" s="376">
        <f>'[2]FFPREV Março 2018'!$I$11</f>
        <v>1.3011E-2</v>
      </c>
      <c r="J19" s="111"/>
      <c r="K19" s="377"/>
      <c r="L19" s="211" t="s">
        <v>45</v>
      </c>
      <c r="M19" s="419">
        <f>'[2]FFPREV Março 2018'!$M$11</f>
        <v>5461875715.0200005</v>
      </c>
      <c r="N19" s="378">
        <f t="shared" si="1"/>
        <v>3.2876070725337343E-3</v>
      </c>
      <c r="O19" s="782"/>
      <c r="P19" s="785"/>
      <c r="Q19" s="788"/>
      <c r="R19" s="791"/>
      <c r="S19" s="794"/>
      <c r="T19" s="64"/>
      <c r="U19" s="64"/>
      <c r="V19" s="63"/>
      <c r="W19" s="64"/>
      <c r="X19" s="64"/>
      <c r="Y19" s="90"/>
    </row>
    <row r="20" spans="1:25" s="1" customFormat="1" ht="15.75" customHeight="1" thickBot="1" x14ac:dyDescent="0.3">
      <c r="A20" s="8"/>
      <c r="B20" s="107" t="s">
        <v>42</v>
      </c>
      <c r="C20" s="108" t="s">
        <v>43</v>
      </c>
      <c r="D20" s="56" t="s">
        <v>61</v>
      </c>
      <c r="E20" s="109" t="s">
        <v>38</v>
      </c>
      <c r="F20" s="109" t="s">
        <v>39</v>
      </c>
      <c r="G20" s="584">
        <f>'[1]FFIN2 Março 2018'!$G$14</f>
        <v>21037571.620000001</v>
      </c>
      <c r="H20" s="102">
        <f t="shared" si="0"/>
        <v>2.0425011323783118E-2</v>
      </c>
      <c r="I20" s="376">
        <f>'[1]FFIN2 Março 2018'!$I$14</f>
        <v>1.6022999999999999E-2</v>
      </c>
      <c r="J20" s="111"/>
      <c r="K20" s="112"/>
      <c r="L20" s="127" t="s">
        <v>53</v>
      </c>
      <c r="M20" s="428">
        <f>'[1]FFIN2 Março 2018'!$M$14</f>
        <v>2226807779.79</v>
      </c>
      <c r="N20" s="114">
        <f t="shared" si="1"/>
        <v>9.4474124847830181E-3</v>
      </c>
      <c r="O20" s="782"/>
      <c r="P20" s="785"/>
      <c r="Q20" s="788"/>
      <c r="R20" s="791"/>
      <c r="S20" s="794"/>
      <c r="T20" s="64"/>
      <c r="U20" s="64"/>
      <c r="V20" s="63"/>
      <c r="W20" s="64"/>
      <c r="X20" s="64"/>
      <c r="Y20" s="90"/>
    </row>
    <row r="21" spans="1:25" s="1" customFormat="1" ht="15.75" customHeight="1" thickBot="1" x14ac:dyDescent="0.3">
      <c r="A21" s="8"/>
      <c r="B21" s="107" t="s">
        <v>214</v>
      </c>
      <c r="C21" s="108" t="s">
        <v>43</v>
      </c>
      <c r="D21" s="56" t="s">
        <v>61</v>
      </c>
      <c r="E21" s="110" t="s">
        <v>38</v>
      </c>
      <c r="F21" s="190" t="s">
        <v>39</v>
      </c>
      <c r="G21" s="357">
        <f>'[2]FFPREV Março 2018'!$G$12</f>
        <v>20072259.629999999</v>
      </c>
      <c r="H21" s="102">
        <f t="shared" si="0"/>
        <v>1.9487806750799534E-2</v>
      </c>
      <c r="I21" s="376">
        <f>'[2]FFPREV Março 2018'!$I$12</f>
        <v>1.6022999999999999E-2</v>
      </c>
      <c r="J21" s="111"/>
      <c r="K21" s="377"/>
      <c r="L21" s="381" t="s">
        <v>53</v>
      </c>
      <c r="M21" s="429">
        <f>'[2]FFPREV Março 2018'!$M$12</f>
        <v>2226807779.79</v>
      </c>
      <c r="N21" s="378">
        <f t="shared" si="1"/>
        <v>9.0139166084164304E-3</v>
      </c>
      <c r="O21" s="782"/>
      <c r="P21" s="785"/>
      <c r="Q21" s="788"/>
      <c r="R21" s="791"/>
      <c r="S21" s="794"/>
      <c r="T21" s="64"/>
      <c r="U21" s="64"/>
      <c r="V21" s="63"/>
      <c r="W21" s="64"/>
      <c r="X21" s="64"/>
      <c r="Y21" s="90"/>
    </row>
    <row r="22" spans="1:25" s="1" customFormat="1" ht="15.75" customHeight="1" thickBot="1" x14ac:dyDescent="0.3">
      <c r="A22" s="8"/>
      <c r="B22" s="54" t="s">
        <v>55</v>
      </c>
      <c r="C22" s="98" t="s">
        <v>36</v>
      </c>
      <c r="D22" s="68" t="s">
        <v>56</v>
      </c>
      <c r="E22" s="124" t="s">
        <v>38</v>
      </c>
      <c r="F22" s="124" t="s">
        <v>39</v>
      </c>
      <c r="G22" s="386">
        <f>'[1]FFIN2 Março 2018'!$G$18</f>
        <v>7017777.9400000004</v>
      </c>
      <c r="H22" s="102">
        <f t="shared" si="0"/>
        <v>6.8134381896067606E-3</v>
      </c>
      <c r="I22" s="358">
        <f>'[1]FFIN2 Março 2018'!$I$18</f>
        <v>1.5800000000000002E-2</v>
      </c>
      <c r="J22" s="125"/>
      <c r="K22" s="126"/>
      <c r="L22" s="127" t="s">
        <v>53</v>
      </c>
      <c r="M22" s="420">
        <f>'[1]FFIN2 Março 2018'!$M$18</f>
        <v>1787620948.28</v>
      </c>
      <c r="N22" s="128">
        <f t="shared" si="1"/>
        <v>3.925763986348624E-3</v>
      </c>
      <c r="O22" s="782"/>
      <c r="P22" s="785"/>
      <c r="Q22" s="788"/>
      <c r="R22" s="791"/>
      <c r="S22" s="794"/>
      <c r="T22" s="64"/>
      <c r="U22" s="64"/>
      <c r="V22" s="63"/>
      <c r="W22" s="64"/>
      <c r="X22" s="64"/>
      <c r="Y22" s="90"/>
    </row>
    <row r="23" spans="1:25" s="1" customFormat="1" ht="15.75" customHeight="1" thickBot="1" x14ac:dyDescent="0.3">
      <c r="A23" s="8">
        <v>9</v>
      </c>
      <c r="B23" s="107" t="s">
        <v>46</v>
      </c>
      <c r="C23" s="98" t="s">
        <v>36</v>
      </c>
      <c r="D23" s="68" t="s">
        <v>47</v>
      </c>
      <c r="E23" s="115" t="s">
        <v>48</v>
      </c>
      <c r="F23" s="115" t="s">
        <v>49</v>
      </c>
      <c r="G23" s="384">
        <f>'[1]FFIN2 Março 2018'!$G$15</f>
        <v>12730088.609999999</v>
      </c>
      <c r="H23" s="102">
        <f t="shared" si="0"/>
        <v>1.2359420978266525E-2</v>
      </c>
      <c r="I23" s="363">
        <f>'[1]FFIN2 Março 2018'!$I$15</f>
        <v>1.0500000000000001E-2</v>
      </c>
      <c r="J23" s="117"/>
      <c r="K23" s="112"/>
      <c r="L23" s="118" t="s">
        <v>40</v>
      </c>
      <c r="M23" s="418">
        <f>'[1]FFIN2 Março 2018'!$M$15</f>
        <v>309883029.23000002</v>
      </c>
      <c r="N23" s="119">
        <f t="shared" si="1"/>
        <v>4.1080302595569149E-2</v>
      </c>
      <c r="O23" s="782"/>
      <c r="P23" s="785"/>
      <c r="Q23" s="788"/>
      <c r="R23" s="791"/>
      <c r="S23" s="794"/>
      <c r="T23" s="64"/>
      <c r="U23" s="64"/>
      <c r="V23" s="63"/>
      <c r="W23" s="64"/>
      <c r="X23" s="64"/>
      <c r="Y23" s="90"/>
    </row>
    <row r="24" spans="1:25" s="1" customFormat="1" ht="18.75" thickBot="1" x14ac:dyDescent="0.3">
      <c r="A24" s="8">
        <v>10</v>
      </c>
      <c r="B24" s="120" t="s">
        <v>50</v>
      </c>
      <c r="C24" s="88" t="s">
        <v>51</v>
      </c>
      <c r="D24" s="68" t="s">
        <v>52</v>
      </c>
      <c r="E24" s="110" t="s">
        <v>38</v>
      </c>
      <c r="F24" s="110" t="s">
        <v>38</v>
      </c>
      <c r="G24" s="585">
        <f>'[1]FFIN2 Março 2018'!$G$16</f>
        <v>53417798.140000001</v>
      </c>
      <c r="H24" s="102">
        <f t="shared" si="0"/>
        <v>5.1862408438044842E-2</v>
      </c>
      <c r="I24" s="358">
        <f>'[1]FFIN2 Março 2018'!$I$16</f>
        <v>1.5996E-2</v>
      </c>
      <c r="J24" s="121"/>
      <c r="K24" s="122"/>
      <c r="L24" s="123" t="s">
        <v>53</v>
      </c>
      <c r="M24" s="421">
        <f>'[1]FFIN2 Março 2018'!$M$16</f>
        <v>7642122550.6899996</v>
      </c>
      <c r="N24" s="119">
        <f t="shared" si="1"/>
        <v>6.9899164513106326E-3</v>
      </c>
      <c r="O24" s="782"/>
      <c r="P24" s="785"/>
      <c r="Q24" s="788"/>
      <c r="R24" s="791"/>
      <c r="S24" s="794"/>
      <c r="T24" s="64"/>
      <c r="U24" s="64"/>
      <c r="V24" s="63"/>
      <c r="W24" s="64"/>
      <c r="X24" s="64"/>
      <c r="Y24" s="90"/>
    </row>
    <row r="25" spans="1:25" s="1" customFormat="1" ht="18.75" thickBot="1" x14ac:dyDescent="0.3">
      <c r="A25" s="8">
        <v>11</v>
      </c>
      <c r="B25" s="120" t="s">
        <v>50</v>
      </c>
      <c r="C25" s="88" t="s">
        <v>51</v>
      </c>
      <c r="D25" s="68" t="s">
        <v>54</v>
      </c>
      <c r="E25" s="110" t="s">
        <v>38</v>
      </c>
      <c r="F25" s="110" t="s">
        <v>38</v>
      </c>
      <c r="G25" s="585">
        <f>'[1]FFIN2 Março 2018'!$G$17</f>
        <v>107532737.43000001</v>
      </c>
      <c r="H25" s="102">
        <f t="shared" si="0"/>
        <v>0.10440165905826856</v>
      </c>
      <c r="I25" s="358">
        <f>'[1]FFIN2 Março 2018'!$I$17</f>
        <v>1.2980999999999999E-2</v>
      </c>
      <c r="J25" s="121"/>
      <c r="K25" s="122"/>
      <c r="L25" s="123" t="s">
        <v>53</v>
      </c>
      <c r="M25" s="421">
        <f>'[1]FFIN2 Março 2018'!$M$17</f>
        <v>3396431132.1100001</v>
      </c>
      <c r="N25" s="119">
        <f t="shared" si="1"/>
        <v>3.1660508706736631E-2</v>
      </c>
      <c r="O25" s="782"/>
      <c r="P25" s="785"/>
      <c r="Q25" s="788"/>
      <c r="R25" s="791"/>
      <c r="S25" s="794"/>
      <c r="T25" s="64"/>
      <c r="U25" s="64"/>
      <c r="V25" s="63"/>
      <c r="W25" s="64"/>
      <c r="X25" s="64"/>
      <c r="Y25" s="90"/>
    </row>
    <row r="26" spans="1:25" s="1" customFormat="1" ht="18.75" thickBot="1" x14ac:dyDescent="0.3">
      <c r="A26" s="8"/>
      <c r="B26" s="120" t="s">
        <v>196</v>
      </c>
      <c r="C26" s="88" t="s">
        <v>51</v>
      </c>
      <c r="D26" s="68" t="s">
        <v>54</v>
      </c>
      <c r="E26" s="115" t="s">
        <v>38</v>
      </c>
      <c r="F26" s="115" t="s">
        <v>38</v>
      </c>
      <c r="G26" s="364">
        <f>'[2]FFPREV Março 2018'!$G$13</f>
        <v>52224980.469999999</v>
      </c>
      <c r="H26" s="102">
        <f t="shared" si="0"/>
        <v>5.0704322568770992E-2</v>
      </c>
      <c r="I26" s="358">
        <f>'[2]FFPREV Março 2018'!$I$13</f>
        <v>1.2980999999999999E-2</v>
      </c>
      <c r="J26" s="379"/>
      <c r="K26" s="380"/>
      <c r="L26" s="381" t="s">
        <v>53</v>
      </c>
      <c r="M26" s="422">
        <f>'[2]FFPREV Março 2018'!$M$13</f>
        <v>3396431132.1100001</v>
      </c>
      <c r="N26" s="119">
        <f t="shared" si="1"/>
        <v>1.5376428503514433E-2</v>
      </c>
      <c r="O26" s="782"/>
      <c r="P26" s="785"/>
      <c r="Q26" s="788"/>
      <c r="R26" s="791"/>
      <c r="S26" s="794"/>
      <c r="T26" s="64"/>
      <c r="U26" s="64"/>
      <c r="V26" s="63"/>
      <c r="W26" s="64"/>
      <c r="X26" s="64"/>
      <c r="Y26" s="90"/>
    </row>
    <row r="27" spans="1:25" s="1" customFormat="1" ht="18.75" thickBot="1" x14ac:dyDescent="0.3">
      <c r="A27" s="8">
        <v>12</v>
      </c>
      <c r="B27" s="54" t="s">
        <v>196</v>
      </c>
      <c r="C27" s="197" t="s">
        <v>51</v>
      </c>
      <c r="D27" s="83" t="s">
        <v>197</v>
      </c>
      <c r="E27" s="115" t="s">
        <v>38</v>
      </c>
      <c r="F27" s="115" t="s">
        <v>38</v>
      </c>
      <c r="G27" s="364">
        <f>'[2]FFPREV Março 2018'!$G$14</f>
        <v>42686055.93</v>
      </c>
      <c r="H27" s="102">
        <f t="shared" si="0"/>
        <v>4.1443147122029358E-2</v>
      </c>
      <c r="I27" s="358">
        <f>'[2]FFPREV Março 2018'!$I$14</f>
        <v>1.5996E-2</v>
      </c>
      <c r="J27" s="125"/>
      <c r="K27" s="383"/>
      <c r="L27" s="381" t="s">
        <v>53</v>
      </c>
      <c r="M27" s="423">
        <f>'[2]FFPREV Março 2018'!$M$14</f>
        <v>7642122550.6899996</v>
      </c>
      <c r="N27" s="119">
        <f t="shared" si="1"/>
        <v>5.5856282919914601E-3</v>
      </c>
      <c r="O27" s="782"/>
      <c r="P27" s="785"/>
      <c r="Q27" s="788"/>
      <c r="R27" s="791"/>
      <c r="S27" s="794"/>
      <c r="T27" s="64"/>
      <c r="U27" s="64"/>
      <c r="V27" s="63"/>
      <c r="W27" s="64"/>
      <c r="X27" s="64"/>
      <c r="Y27" s="90"/>
    </row>
    <row r="28" spans="1:25" s="1" customFormat="1" ht="18.75" thickBot="1" x14ac:dyDescent="0.3">
      <c r="A28" s="129">
        <v>13</v>
      </c>
      <c r="B28" s="227" t="s">
        <v>57</v>
      </c>
      <c r="C28" s="312"/>
      <c r="D28" s="88" t="s">
        <v>58</v>
      </c>
      <c r="E28" s="155" t="s">
        <v>38</v>
      </c>
      <c r="F28" s="155" t="s">
        <v>39</v>
      </c>
      <c r="G28" s="586">
        <f>'[1]FFIN2 Março 2018'!$G$19</f>
        <v>7170092.8399999999</v>
      </c>
      <c r="H28" s="102">
        <f t="shared" si="0"/>
        <v>6.9613180691610755E-3</v>
      </c>
      <c r="I28" s="367">
        <f>'[1]FFIN2 Março 2018'!$I$19</f>
        <v>9.5999999999999992E-3</v>
      </c>
      <c r="J28" s="313"/>
      <c r="K28" s="175"/>
      <c r="L28" s="314" t="s">
        <v>40</v>
      </c>
      <c r="M28" s="424">
        <f>'[1]FFIN2 Março 2018'!$M$19</f>
        <v>59049620.740000002</v>
      </c>
      <c r="N28" s="161">
        <f t="shared" si="1"/>
        <v>0.12142487538693038</v>
      </c>
      <c r="O28" s="783"/>
      <c r="P28" s="786"/>
      <c r="Q28" s="789"/>
      <c r="R28" s="792"/>
      <c r="S28" s="795"/>
      <c r="T28" s="64"/>
      <c r="U28" s="64"/>
      <c r="V28" s="63"/>
      <c r="W28" s="64"/>
      <c r="X28" s="64"/>
      <c r="Y28" s="90"/>
    </row>
    <row r="29" spans="1:25" s="1" customFormat="1" ht="23.25" thickBot="1" x14ac:dyDescent="0.3">
      <c r="A29" s="185"/>
      <c r="B29" s="337" t="s">
        <v>168</v>
      </c>
      <c r="C29" s="338"/>
      <c r="D29" s="339"/>
      <c r="E29" s="340"/>
      <c r="F29" s="340"/>
      <c r="G29" s="609">
        <v>0</v>
      </c>
      <c r="H29" s="43"/>
      <c r="I29" s="43"/>
      <c r="J29" s="43"/>
      <c r="K29" s="318"/>
      <c r="L29" s="321"/>
      <c r="M29" s="315"/>
      <c r="N29" s="187"/>
      <c r="O29" s="316" t="s">
        <v>41</v>
      </c>
      <c r="P29" s="644">
        <v>0</v>
      </c>
      <c r="Q29" s="173">
        <v>1</v>
      </c>
      <c r="R29" s="96">
        <v>0</v>
      </c>
      <c r="S29" s="641" t="s">
        <v>297</v>
      </c>
      <c r="T29" s="64"/>
      <c r="U29" s="64"/>
      <c r="V29" s="63"/>
      <c r="W29" s="64"/>
      <c r="X29" s="64"/>
      <c r="Y29" s="90"/>
    </row>
    <row r="30" spans="1:25" s="1" customFormat="1" ht="23.25" thickBot="1" x14ac:dyDescent="0.3">
      <c r="A30" s="185"/>
      <c r="B30" s="337" t="s">
        <v>165</v>
      </c>
      <c r="C30" s="338"/>
      <c r="D30" s="341"/>
      <c r="E30" s="342"/>
      <c r="F30" s="342"/>
      <c r="G30" s="609">
        <v>0</v>
      </c>
      <c r="H30" s="43"/>
      <c r="I30" s="116"/>
      <c r="J30" s="116"/>
      <c r="K30" s="198"/>
      <c r="L30" s="113"/>
      <c r="M30" s="319"/>
      <c r="N30" s="218"/>
      <c r="O30" s="316" t="s">
        <v>41</v>
      </c>
      <c r="P30" s="322">
        <v>0</v>
      </c>
      <c r="Q30" s="172">
        <v>0.05</v>
      </c>
      <c r="R30" s="173">
        <v>0</v>
      </c>
      <c r="S30" s="569" t="s">
        <v>298</v>
      </c>
      <c r="T30" s="64"/>
      <c r="U30" s="64"/>
      <c r="V30" s="63"/>
      <c r="W30" s="64"/>
      <c r="X30" s="64"/>
      <c r="Y30" s="90"/>
    </row>
    <row r="31" spans="1:25" s="53" customFormat="1" ht="18.75" thickBot="1" x14ac:dyDescent="0.25">
      <c r="A31" s="40"/>
      <c r="B31" s="334" t="s">
        <v>166</v>
      </c>
      <c r="C31" s="335"/>
      <c r="D31" s="336"/>
      <c r="E31" s="336"/>
      <c r="F31" s="336"/>
      <c r="G31" s="582"/>
      <c r="H31" s="43">
        <f>G31/$G$90</f>
        <v>0</v>
      </c>
      <c r="I31" s="91"/>
      <c r="J31" s="44"/>
      <c r="K31" s="44"/>
      <c r="L31" s="44"/>
      <c r="M31" s="130"/>
      <c r="N31" s="131"/>
      <c r="O31" s="42"/>
      <c r="P31" s="645"/>
      <c r="Q31" s="645"/>
      <c r="R31" s="645"/>
      <c r="S31" s="140"/>
      <c r="T31" s="52"/>
      <c r="U31" s="52"/>
      <c r="V31" s="52"/>
      <c r="W31" s="52"/>
      <c r="X31" s="52"/>
      <c r="Y31" s="52"/>
    </row>
    <row r="32" spans="1:25" s="1" customFormat="1" ht="23.25" thickBot="1" x14ac:dyDescent="0.3">
      <c r="A32" s="8"/>
      <c r="B32" s="343" t="s">
        <v>172</v>
      </c>
      <c r="C32" s="338"/>
      <c r="D32" s="344"/>
      <c r="E32" s="340"/>
      <c r="F32" s="340"/>
      <c r="G32" s="610">
        <v>0</v>
      </c>
      <c r="H32" s="328"/>
      <c r="I32" s="43"/>
      <c r="J32" s="215"/>
      <c r="K32" s="329"/>
      <c r="L32" s="310"/>
      <c r="M32" s="330"/>
      <c r="N32" s="43"/>
      <c r="O32" s="316" t="s">
        <v>167</v>
      </c>
      <c r="P32" s="322">
        <v>0</v>
      </c>
      <c r="Q32" s="173">
        <v>0.6</v>
      </c>
      <c r="R32" s="642">
        <v>0</v>
      </c>
      <c r="S32" s="570" t="s">
        <v>299</v>
      </c>
      <c r="T32" s="139"/>
      <c r="U32" s="64"/>
      <c r="V32" s="63"/>
      <c r="W32" s="63"/>
      <c r="X32" s="63"/>
      <c r="Y32" s="65"/>
    </row>
    <row r="33" spans="1:25" s="53" customFormat="1" ht="18.75" thickBot="1" x14ac:dyDescent="0.25">
      <c r="A33" s="40"/>
      <c r="B33" s="334" t="s">
        <v>170</v>
      </c>
      <c r="C33" s="335"/>
      <c r="D33" s="336"/>
      <c r="E33" s="336"/>
      <c r="F33" s="336"/>
      <c r="G33" s="587">
        <f>SUM(G34:G48)</f>
        <v>233757844.18000004</v>
      </c>
      <c r="H33" s="215">
        <f t="shared" ref="H33:H48" si="2">G33/$G$90</f>
        <v>0.22695141343502792</v>
      </c>
      <c r="I33" s="327"/>
      <c r="J33" s="92"/>
      <c r="K33" s="162"/>
      <c r="L33" s="44"/>
      <c r="M33" s="130"/>
      <c r="N33" s="131"/>
      <c r="O33" s="42"/>
      <c r="P33" s="645"/>
      <c r="Q33" s="645"/>
      <c r="R33" s="645"/>
      <c r="S33" s="140"/>
      <c r="T33" s="52"/>
      <c r="U33" s="52"/>
      <c r="V33" s="52"/>
      <c r="W33" s="52"/>
      <c r="X33" s="52"/>
      <c r="Y33" s="52"/>
    </row>
    <row r="34" spans="1:25" s="1" customFormat="1" ht="18" x14ac:dyDescent="0.25">
      <c r="A34" s="8">
        <v>18</v>
      </c>
      <c r="B34" s="54" t="s">
        <v>67</v>
      </c>
      <c r="C34" s="136" t="s">
        <v>68</v>
      </c>
      <c r="D34" s="68" t="s">
        <v>69</v>
      </c>
      <c r="E34" s="124" t="s">
        <v>70</v>
      </c>
      <c r="F34" s="124" t="s">
        <v>70</v>
      </c>
      <c r="G34" s="386">
        <f>'[1]FFIN2 Março 2018'!$G$25</f>
        <v>0</v>
      </c>
      <c r="H34" s="141">
        <f t="shared" si="2"/>
        <v>0</v>
      </c>
      <c r="I34" s="432">
        <f>'[1]FFIN2 Março 2018'!$I$25</f>
        <v>0</v>
      </c>
      <c r="J34" s="143"/>
      <c r="K34" s="144"/>
      <c r="L34" s="145" t="s">
        <v>71</v>
      </c>
      <c r="M34" s="404">
        <f>'[1]FFIN2 Março 2018'!$M$25</f>
        <v>6893035004.8800001</v>
      </c>
      <c r="N34" s="119">
        <f t="shared" ref="N34:N48" si="3">G34/M34</f>
        <v>0</v>
      </c>
      <c r="O34" s="781" t="s">
        <v>60</v>
      </c>
      <c r="P34" s="796">
        <f>SUM(G34:G48)/G90</f>
        <v>0.22695141343502792</v>
      </c>
      <c r="Q34" s="775">
        <v>0.4</v>
      </c>
      <c r="R34" s="790">
        <v>0.3</v>
      </c>
      <c r="S34" s="793" t="s">
        <v>300</v>
      </c>
      <c r="T34" s="64"/>
      <c r="U34" s="64"/>
      <c r="V34" s="63"/>
      <c r="W34" s="64"/>
      <c r="X34" s="64"/>
      <c r="Y34" s="90"/>
    </row>
    <row r="35" spans="1:25" s="1" customFormat="1" ht="18" x14ac:dyDescent="0.25">
      <c r="A35" s="8">
        <v>19</v>
      </c>
      <c r="B35" s="54" t="s">
        <v>72</v>
      </c>
      <c r="C35" s="136" t="s">
        <v>68</v>
      </c>
      <c r="D35" s="68" t="s">
        <v>73</v>
      </c>
      <c r="E35" s="124" t="s">
        <v>70</v>
      </c>
      <c r="F35" s="124" t="s">
        <v>74</v>
      </c>
      <c r="G35" s="386">
        <f>'[1]FFIN2 Março 2018'!$G$26</f>
        <v>798627.39</v>
      </c>
      <c r="H35" s="141">
        <f t="shared" si="2"/>
        <v>7.7537340235247912E-4</v>
      </c>
      <c r="I35" s="415">
        <f>'[1]FFIN2 Março 2018'!$I$26</f>
        <v>4.5999999999999999E-3</v>
      </c>
      <c r="J35" s="111"/>
      <c r="K35" s="126"/>
      <c r="L35" s="127" t="s">
        <v>71</v>
      </c>
      <c r="M35" s="404">
        <f>'[1]FFIN2 Março 2018'!$M$26</f>
        <v>8315053689.2200003</v>
      </c>
      <c r="N35" s="119">
        <f t="shared" si="3"/>
        <v>9.6045969136119411E-5</v>
      </c>
      <c r="O35" s="782"/>
      <c r="P35" s="797"/>
      <c r="Q35" s="776"/>
      <c r="R35" s="791"/>
      <c r="S35" s="794"/>
      <c r="T35" s="64"/>
      <c r="U35" s="64"/>
      <c r="V35" s="63"/>
      <c r="W35" s="64"/>
      <c r="X35" s="64"/>
      <c r="Y35" s="90"/>
    </row>
    <row r="36" spans="1:25" s="1" customFormat="1" ht="18" x14ac:dyDescent="0.25">
      <c r="A36" s="8">
        <v>20</v>
      </c>
      <c r="B36" s="54" t="s">
        <v>72</v>
      </c>
      <c r="C36" s="136" t="s">
        <v>68</v>
      </c>
      <c r="D36" s="68" t="s">
        <v>69</v>
      </c>
      <c r="E36" s="124" t="s">
        <v>70</v>
      </c>
      <c r="F36" s="124" t="s">
        <v>70</v>
      </c>
      <c r="G36" s="386">
        <f>'[1]FFIN2 Março 2018'!$G$27</f>
        <v>236217.35</v>
      </c>
      <c r="H36" s="141">
        <f t="shared" si="2"/>
        <v>2.2933930473407178E-4</v>
      </c>
      <c r="I36" s="415">
        <f>'[1]FFIN2 Março 2018'!$I$27</f>
        <v>5.3E-3</v>
      </c>
      <c r="J36" s="146"/>
      <c r="K36" s="147"/>
      <c r="L36" s="127" t="s">
        <v>71</v>
      </c>
      <c r="M36" s="404">
        <f>'[1]FFIN2 Março 2018'!$M$27</f>
        <v>6997570434.0200005</v>
      </c>
      <c r="N36" s="119">
        <f t="shared" si="3"/>
        <v>3.3757052140780905E-5</v>
      </c>
      <c r="O36" s="782"/>
      <c r="P36" s="797"/>
      <c r="Q36" s="776"/>
      <c r="R36" s="791"/>
      <c r="S36" s="794"/>
      <c r="T36" s="64"/>
      <c r="U36" s="64"/>
      <c r="V36" s="63"/>
      <c r="W36" s="64"/>
      <c r="X36" s="64"/>
      <c r="Y36" s="90"/>
    </row>
    <row r="37" spans="1:25" s="1" customFormat="1" ht="18" x14ac:dyDescent="0.25">
      <c r="A37" s="8"/>
      <c r="B37" s="54" t="s">
        <v>215</v>
      </c>
      <c r="C37" s="136" t="s">
        <v>68</v>
      </c>
      <c r="D37" s="68" t="s">
        <v>69</v>
      </c>
      <c r="E37" s="124" t="s">
        <v>70</v>
      </c>
      <c r="F37" s="124" t="s">
        <v>70</v>
      </c>
      <c r="G37" s="386">
        <f>'[2]FFPREV Março 2018'!$G$20</f>
        <v>11997.4</v>
      </c>
      <c r="H37" s="141">
        <f t="shared" si="2"/>
        <v>1.1648066387234268E-5</v>
      </c>
      <c r="I37" s="363">
        <f>'[2]FFPREV Março 2018'!$I$20</f>
        <v>5.3E-3</v>
      </c>
      <c r="J37" s="111"/>
      <c r="K37" s="403"/>
      <c r="L37" s="381" t="s">
        <v>71</v>
      </c>
      <c r="M37" s="404">
        <f>'[2]FFPREV Março 2018'!$M$20</f>
        <v>6997570434.0200005</v>
      </c>
      <c r="N37" s="382">
        <f t="shared" si="3"/>
        <v>1.7145093590873185E-6</v>
      </c>
      <c r="O37" s="782"/>
      <c r="P37" s="797"/>
      <c r="Q37" s="776"/>
      <c r="R37" s="791"/>
      <c r="S37" s="794"/>
      <c r="T37" s="64"/>
      <c r="U37" s="64"/>
      <c r="V37" s="63"/>
      <c r="W37" s="64"/>
      <c r="X37" s="64"/>
      <c r="Y37" s="90"/>
    </row>
    <row r="38" spans="1:25" s="1" customFormat="1" ht="18" x14ac:dyDescent="0.25">
      <c r="A38" s="8"/>
      <c r="B38" s="54" t="s">
        <v>42</v>
      </c>
      <c r="C38" s="55" t="s">
        <v>43</v>
      </c>
      <c r="D38" s="56" t="s">
        <v>59</v>
      </c>
      <c r="E38" s="109" t="s">
        <v>38</v>
      </c>
      <c r="F38" s="115" t="s">
        <v>39</v>
      </c>
      <c r="G38" s="384">
        <f>'[1]FFIN2 Março 2018'!$G$28</f>
        <v>53072256.170000002</v>
      </c>
      <c r="H38" s="141">
        <f t="shared" si="2"/>
        <v>5.1526927766721416E-2</v>
      </c>
      <c r="I38" s="358">
        <f>'[1]FFIN2 Março 2018'!$I$28</f>
        <v>9.2250000000000006E-3</v>
      </c>
      <c r="J38" s="111"/>
      <c r="K38" s="147"/>
      <c r="L38" s="118" t="s">
        <v>40</v>
      </c>
      <c r="M38" s="445">
        <f>'[1]FFIN2 Março 2018'!$M$28</f>
        <v>1113606395.8299999</v>
      </c>
      <c r="N38" s="119">
        <f t="shared" si="3"/>
        <v>4.7658002296622821E-2</v>
      </c>
      <c r="O38" s="782"/>
      <c r="P38" s="797"/>
      <c r="Q38" s="776"/>
      <c r="R38" s="791"/>
      <c r="S38" s="794"/>
      <c r="T38" s="64"/>
      <c r="U38" s="64"/>
      <c r="V38" s="63"/>
      <c r="W38" s="64"/>
      <c r="X38" s="64"/>
      <c r="Y38" s="90"/>
    </row>
    <row r="39" spans="1:25" s="1" customFormat="1" ht="18" x14ac:dyDescent="0.25">
      <c r="A39" s="8"/>
      <c r="B39" s="54" t="s">
        <v>199</v>
      </c>
      <c r="C39" s="197" t="s">
        <v>200</v>
      </c>
      <c r="D39" s="83" t="s">
        <v>201</v>
      </c>
      <c r="E39" s="110" t="s">
        <v>38</v>
      </c>
      <c r="F39" s="110" t="s">
        <v>38</v>
      </c>
      <c r="G39" s="364">
        <f>'[2]FFPREV Março 2018'!$G$22</f>
        <v>21729232.690000001</v>
      </c>
      <c r="H39" s="141">
        <f t="shared" si="2"/>
        <v>2.1096532991879996E-2</v>
      </c>
      <c r="I39" s="358">
        <f>'[2]FFPREV Março 2018'!$I$22</f>
        <v>9.0969999999999992E-3</v>
      </c>
      <c r="J39" s="326"/>
      <c r="K39" s="383"/>
      <c r="L39" s="381" t="s">
        <v>40</v>
      </c>
      <c r="M39" s="431">
        <f>'[2]FFPREV Março 2018'!$M$22</f>
        <v>2532522078.1799998</v>
      </c>
      <c r="N39" s="378">
        <f t="shared" si="3"/>
        <v>8.5800763109697125E-3</v>
      </c>
      <c r="O39" s="782"/>
      <c r="P39" s="797"/>
      <c r="Q39" s="776"/>
      <c r="R39" s="791"/>
      <c r="S39" s="794"/>
      <c r="T39" s="64"/>
      <c r="U39" s="64"/>
      <c r="V39" s="63"/>
      <c r="W39" s="64"/>
      <c r="X39" s="64"/>
      <c r="Y39" s="90"/>
    </row>
    <row r="40" spans="1:25" s="1" customFormat="1" ht="18.75" thickBot="1" x14ac:dyDescent="0.3">
      <c r="A40" s="8">
        <v>21</v>
      </c>
      <c r="B40" s="148" t="s">
        <v>75</v>
      </c>
      <c r="C40" s="149"/>
      <c r="D40" s="150" t="s">
        <v>76</v>
      </c>
      <c r="E40" s="124" t="s">
        <v>38</v>
      </c>
      <c r="F40" s="115" t="s">
        <v>39</v>
      </c>
      <c r="G40" s="384">
        <f>'[1]FFIN2 Março 2018'!$G$29</f>
        <v>16212225.02</v>
      </c>
      <c r="H40" s="141">
        <f t="shared" si="2"/>
        <v>1.5740166479215532E-2</v>
      </c>
      <c r="I40" s="358">
        <f>'[1]FFIN2 Março 2018'!$I$29</f>
        <v>7.4000000000000003E-3</v>
      </c>
      <c r="J40" s="151"/>
      <c r="K40" s="152"/>
      <c r="L40" s="113" t="s">
        <v>71</v>
      </c>
      <c r="M40" s="434">
        <f>'[1]FFIN2 Março 2018'!$M$29</f>
        <v>231611136.47</v>
      </c>
      <c r="N40" s="119">
        <f t="shared" si="3"/>
        <v>6.9997605758909301E-2</v>
      </c>
      <c r="O40" s="782"/>
      <c r="P40" s="797"/>
      <c r="Q40" s="776"/>
      <c r="R40" s="791"/>
      <c r="S40" s="794"/>
      <c r="T40" s="64"/>
      <c r="U40" s="64"/>
      <c r="V40" s="63"/>
      <c r="W40" s="64"/>
      <c r="X40" s="64"/>
      <c r="Y40" s="90"/>
    </row>
    <row r="41" spans="1:25" s="1" customFormat="1" ht="18.75" thickBot="1" x14ac:dyDescent="0.3">
      <c r="A41" s="8">
        <v>22</v>
      </c>
      <c r="B41" s="54" t="s">
        <v>55</v>
      </c>
      <c r="C41" s="98" t="s">
        <v>36</v>
      </c>
      <c r="D41" s="68" t="s">
        <v>79</v>
      </c>
      <c r="E41" s="124" t="s">
        <v>38</v>
      </c>
      <c r="F41" s="124" t="s">
        <v>39</v>
      </c>
      <c r="G41" s="386">
        <f>'[1]FFIN2 Março 2018'!$G$31</f>
        <v>26789664.43</v>
      </c>
      <c r="H41" s="141">
        <f t="shared" si="2"/>
        <v>2.600961789824199E-2</v>
      </c>
      <c r="I41" s="358">
        <f>'[1]FFIN2 Março 2018'!$I$33</f>
        <v>9.7000000000000003E-3</v>
      </c>
      <c r="J41" s="125"/>
      <c r="K41" s="126"/>
      <c r="L41" s="127" t="s">
        <v>80</v>
      </c>
      <c r="M41" s="435">
        <f>'[1]FFIN2 Março 2018'!$M$31</f>
        <v>1526063252.26</v>
      </c>
      <c r="N41" s="119">
        <f t="shared" si="3"/>
        <v>1.7554753638373936E-2</v>
      </c>
      <c r="O41" s="782"/>
      <c r="P41" s="797"/>
      <c r="Q41" s="776"/>
      <c r="R41" s="791"/>
      <c r="S41" s="794"/>
      <c r="T41" s="64"/>
      <c r="U41" s="64"/>
      <c r="V41" s="63"/>
      <c r="W41" s="64"/>
      <c r="X41" s="64"/>
      <c r="Y41" s="90"/>
    </row>
    <row r="42" spans="1:25" s="1" customFormat="1" ht="18.75" thickBot="1" x14ac:dyDescent="0.3">
      <c r="A42" s="8"/>
      <c r="B42" s="54" t="s">
        <v>202</v>
      </c>
      <c r="C42" s="98" t="s">
        <v>36</v>
      </c>
      <c r="D42" s="68" t="s">
        <v>79</v>
      </c>
      <c r="E42" s="124" t="s">
        <v>38</v>
      </c>
      <c r="F42" s="124" t="s">
        <v>39</v>
      </c>
      <c r="G42" s="384">
        <f>'[2]FFPREV Março 2018'!$G$23</f>
        <v>8571745.8699999992</v>
      </c>
      <c r="H42" s="141">
        <f t="shared" si="2"/>
        <v>8.3221585467068825E-3</v>
      </c>
      <c r="I42" s="358">
        <f>'[1]FFIN2 Março 2018'!$I$31</f>
        <v>1.03E-2</v>
      </c>
      <c r="J42" s="125"/>
      <c r="K42" s="380"/>
      <c r="L42" s="381" t="s">
        <v>80</v>
      </c>
      <c r="M42" s="436">
        <f>'[2]FFPREV Março 2018'!$M$23</f>
        <v>1526063252.26</v>
      </c>
      <c r="N42" s="382">
        <f t="shared" si="3"/>
        <v>5.6169007787231643E-3</v>
      </c>
      <c r="O42" s="782"/>
      <c r="P42" s="797"/>
      <c r="Q42" s="776"/>
      <c r="R42" s="791"/>
      <c r="S42" s="794"/>
      <c r="T42" s="64"/>
      <c r="U42" s="64"/>
      <c r="V42" s="63"/>
      <c r="W42" s="64"/>
      <c r="X42" s="64"/>
      <c r="Y42" s="90"/>
    </row>
    <row r="43" spans="1:25" s="1" customFormat="1" ht="18.75" thickBot="1" x14ac:dyDescent="0.3">
      <c r="A43" s="8"/>
      <c r="B43" s="54" t="s">
        <v>55</v>
      </c>
      <c r="C43" s="98" t="s">
        <v>77</v>
      </c>
      <c r="D43" s="68" t="s">
        <v>78</v>
      </c>
      <c r="E43" s="124" t="s">
        <v>38</v>
      </c>
      <c r="F43" s="124" t="s">
        <v>38</v>
      </c>
      <c r="G43" s="386">
        <f>'[1]FFIN2 Março 2018'!$G$30</f>
        <v>6375398.2400000002</v>
      </c>
      <c r="H43" s="141">
        <f t="shared" si="2"/>
        <v>6.189762944019247E-3</v>
      </c>
      <c r="I43" s="358">
        <f>'[1]FFIN2 Março 2018'!$I$30</f>
        <v>5.1999999999999998E-3</v>
      </c>
      <c r="J43" s="125"/>
      <c r="K43" s="126"/>
      <c r="L43" s="113" t="s">
        <v>71</v>
      </c>
      <c r="M43" s="435">
        <f>'[1]FFIN2 Março 2018'!$M$30</f>
        <v>9610867395.25</v>
      </c>
      <c r="N43" s="119">
        <f t="shared" si="3"/>
        <v>6.6335305418436293E-4</v>
      </c>
      <c r="O43" s="782"/>
      <c r="P43" s="797"/>
      <c r="Q43" s="776"/>
      <c r="R43" s="791"/>
      <c r="S43" s="794"/>
      <c r="T43" s="64"/>
      <c r="U43" s="64"/>
      <c r="V43" s="63"/>
      <c r="W43" s="64"/>
      <c r="X43" s="64"/>
      <c r="Y43" s="90"/>
    </row>
    <row r="44" spans="1:25" s="1" customFormat="1" ht="18" x14ac:dyDescent="0.25">
      <c r="A44" s="8">
        <v>23</v>
      </c>
      <c r="B44" s="54" t="s">
        <v>203</v>
      </c>
      <c r="C44" s="98" t="s">
        <v>204</v>
      </c>
      <c r="D44" s="68" t="s">
        <v>205</v>
      </c>
      <c r="E44" s="124" t="s">
        <v>38</v>
      </c>
      <c r="F44" s="124" t="s">
        <v>38</v>
      </c>
      <c r="G44" s="386">
        <f>'[2]FFPREV Março 2018'!$G$24</f>
        <v>1071372.8600000001</v>
      </c>
      <c r="H44" s="141">
        <f t="shared" si="2"/>
        <v>1.0401772216281067E-3</v>
      </c>
      <c r="I44" s="358">
        <f>'[2]FFPREV Março 2018'!$I$24</f>
        <v>5.1999999999999998E-3</v>
      </c>
      <c r="J44" s="125"/>
      <c r="K44" s="380"/>
      <c r="L44" s="387" t="s">
        <v>71</v>
      </c>
      <c r="M44" s="435">
        <f>'[2]FFPREV Março 2018'!$M$24</f>
        <v>9610867395.25</v>
      </c>
      <c r="N44" s="382">
        <f t="shared" si="3"/>
        <v>1.1147514744917894E-4</v>
      </c>
      <c r="O44" s="782"/>
      <c r="P44" s="797"/>
      <c r="Q44" s="776"/>
      <c r="R44" s="791"/>
      <c r="S44" s="794"/>
      <c r="T44" s="64"/>
      <c r="U44" s="64"/>
      <c r="V44" s="63"/>
      <c r="W44" s="64"/>
      <c r="X44" s="64"/>
      <c r="Y44" s="90"/>
    </row>
    <row r="45" spans="1:25" s="1" customFormat="1" ht="18" x14ac:dyDescent="0.25">
      <c r="A45" s="8"/>
      <c r="B45" s="54" t="s">
        <v>198</v>
      </c>
      <c r="C45" s="136" t="s">
        <v>65</v>
      </c>
      <c r="D45" s="137" t="s">
        <v>66</v>
      </c>
      <c r="E45" s="109" t="s">
        <v>38</v>
      </c>
      <c r="F45" s="109" t="s">
        <v>39</v>
      </c>
      <c r="G45" s="357">
        <f>'[2]FFPREV Março 2018'!$G$21</f>
        <v>8775684.8300000001</v>
      </c>
      <c r="H45" s="141">
        <f t="shared" si="2"/>
        <v>8.5201593256276093E-3</v>
      </c>
      <c r="I45" s="376">
        <f>'[2]FFPREV Março 2018'!$I$21</f>
        <v>1.6500000000000001E-2</v>
      </c>
      <c r="J45" s="111"/>
      <c r="K45" s="406"/>
      <c r="L45" s="407" t="s">
        <v>53</v>
      </c>
      <c r="M45" s="431">
        <f>'[2]FFPREV Março 2018'!$M$21</f>
        <v>495849711.75999999</v>
      </c>
      <c r="N45" s="378">
        <f t="shared" si="3"/>
        <v>1.7698275549764938E-2</v>
      </c>
      <c r="O45" s="782"/>
      <c r="P45" s="797"/>
      <c r="Q45" s="776"/>
      <c r="R45" s="791"/>
      <c r="S45" s="794"/>
      <c r="T45" s="64"/>
      <c r="U45" s="64"/>
      <c r="V45" s="63"/>
      <c r="W45" s="64"/>
      <c r="X45" s="64"/>
      <c r="Y45" s="90"/>
    </row>
    <row r="46" spans="1:25" s="1" customFormat="1" ht="18" x14ac:dyDescent="0.25">
      <c r="A46" s="8"/>
      <c r="B46" s="54" t="s">
        <v>62</v>
      </c>
      <c r="C46" s="136" t="s">
        <v>65</v>
      </c>
      <c r="D46" s="325" t="s">
        <v>66</v>
      </c>
      <c r="E46" s="190" t="s">
        <v>38</v>
      </c>
      <c r="F46" s="190" t="s">
        <v>39</v>
      </c>
      <c r="G46" s="585">
        <f>'[1]FFIN2 Março 2018'!$G$34</f>
        <v>27826688.670000002</v>
      </c>
      <c r="H46" s="141">
        <f t="shared" si="2"/>
        <v>2.7016446643861141E-2</v>
      </c>
      <c r="I46" s="363">
        <f>'[1]FFIN2 Março 2018'!$I$34</f>
        <v>1.6500000000000001E-2</v>
      </c>
      <c r="J46" s="111"/>
      <c r="K46" s="440"/>
      <c r="L46" s="127" t="s">
        <v>53</v>
      </c>
      <c r="M46" s="430">
        <f>'[1]FFIN2 Março 2018'!$M$34</f>
        <v>495849711.86000001</v>
      </c>
      <c r="N46" s="128">
        <f t="shared" si="3"/>
        <v>5.6119199032340444E-2</v>
      </c>
      <c r="O46" s="782"/>
      <c r="P46" s="797"/>
      <c r="Q46" s="776"/>
      <c r="R46" s="791"/>
      <c r="S46" s="794"/>
      <c r="T46" s="64"/>
      <c r="U46" s="64"/>
      <c r="V46" s="63"/>
      <c r="W46" s="64"/>
      <c r="X46" s="64"/>
      <c r="Y46" s="90"/>
    </row>
    <row r="47" spans="1:25" s="1" customFormat="1" ht="18" x14ac:dyDescent="0.25">
      <c r="A47" s="8"/>
      <c r="B47" s="107" t="s">
        <v>62</v>
      </c>
      <c r="C47" s="136" t="s">
        <v>63</v>
      </c>
      <c r="D47" s="137" t="s">
        <v>64</v>
      </c>
      <c r="E47" s="115" t="s">
        <v>38</v>
      </c>
      <c r="F47" s="115" t="s">
        <v>39</v>
      </c>
      <c r="G47" s="384">
        <f>'[1]FFIN2 Março 2018'!$G$33</f>
        <v>48418813.420000002</v>
      </c>
      <c r="H47" s="141">
        <f t="shared" si="2"/>
        <v>4.7008981371569634E-2</v>
      </c>
      <c r="I47" s="415">
        <f>'[1]FFIN2 Março 2018'!$I$33</f>
        <v>9.7000000000000003E-3</v>
      </c>
      <c r="J47" s="200"/>
      <c r="K47" s="439"/>
      <c r="L47" s="118" t="s">
        <v>40</v>
      </c>
      <c r="M47" s="428">
        <f>'[1]FFIN2 Março 2018'!$M$33</f>
        <v>1510550949.52</v>
      </c>
      <c r="N47" s="119">
        <f t="shared" si="3"/>
        <v>3.2053743990155245E-2</v>
      </c>
      <c r="O47" s="782"/>
      <c r="P47" s="797"/>
      <c r="Q47" s="776"/>
      <c r="R47" s="791"/>
      <c r="S47" s="794"/>
      <c r="T47" s="64"/>
      <c r="U47" s="64"/>
      <c r="V47" s="63"/>
      <c r="W47" s="64"/>
      <c r="X47" s="64"/>
      <c r="Y47" s="90"/>
    </row>
    <row r="48" spans="1:25" s="1" customFormat="1" ht="18.75" thickBot="1" x14ac:dyDescent="0.3">
      <c r="A48" s="8">
        <v>24</v>
      </c>
      <c r="B48" s="148" t="s">
        <v>62</v>
      </c>
      <c r="C48" s="154"/>
      <c r="D48" s="332" t="s">
        <v>81</v>
      </c>
      <c r="E48" s="155" t="s">
        <v>38</v>
      </c>
      <c r="F48" s="155" t="s">
        <v>38</v>
      </c>
      <c r="G48" s="385">
        <f>'[1]FFIN2 Março 2018'!$G$32</f>
        <v>13867919.84</v>
      </c>
      <c r="H48" s="141">
        <f t="shared" si="2"/>
        <v>1.3464121472082553E-2</v>
      </c>
      <c r="I48" s="433">
        <f>'[1]FFIN2 Março 2018'!$I$32</f>
        <v>5.1999999999999998E-3</v>
      </c>
      <c r="J48" s="157"/>
      <c r="K48" s="158"/>
      <c r="L48" s="159" t="s">
        <v>71</v>
      </c>
      <c r="M48" s="437">
        <f>'[1]FFIN2 Março 2018'!$M$32</f>
        <v>8893322367.3099995</v>
      </c>
      <c r="N48" s="161">
        <f t="shared" si="3"/>
        <v>1.5593632241394492E-3</v>
      </c>
      <c r="O48" s="783"/>
      <c r="P48" s="798"/>
      <c r="Q48" s="777"/>
      <c r="R48" s="792"/>
      <c r="S48" s="795"/>
      <c r="T48" s="64"/>
      <c r="U48" s="64"/>
      <c r="V48" s="63"/>
      <c r="W48" s="64"/>
      <c r="X48" s="64"/>
      <c r="Y48" s="90"/>
    </row>
    <row r="49" spans="1:25" s="1" customFormat="1" ht="23.25" thickBot="1" x14ac:dyDescent="0.3">
      <c r="A49" s="8"/>
      <c r="B49" s="343" t="s">
        <v>171</v>
      </c>
      <c r="C49" s="338"/>
      <c r="D49" s="341"/>
      <c r="E49" s="345"/>
      <c r="F49" s="345"/>
      <c r="G49" s="609">
        <v>0</v>
      </c>
      <c r="H49" s="328"/>
      <c r="I49" s="43"/>
      <c r="J49" s="215"/>
      <c r="K49" s="158"/>
      <c r="L49" s="331"/>
      <c r="M49" s="160"/>
      <c r="N49" s="187"/>
      <c r="O49" s="323" t="s">
        <v>60</v>
      </c>
      <c r="P49" s="322">
        <v>0</v>
      </c>
      <c r="Q49" s="172">
        <v>0.4</v>
      </c>
      <c r="R49" s="173">
        <v>0</v>
      </c>
      <c r="S49" s="569" t="s">
        <v>301</v>
      </c>
      <c r="T49" s="64"/>
      <c r="U49" s="64"/>
      <c r="V49" s="63"/>
      <c r="W49" s="64"/>
      <c r="X49" s="64"/>
      <c r="Y49" s="90"/>
    </row>
    <row r="50" spans="1:25" s="1" customFormat="1" ht="18.75" thickBot="1" x14ac:dyDescent="0.3">
      <c r="A50" s="8"/>
      <c r="B50" s="343" t="s">
        <v>173</v>
      </c>
      <c r="C50" s="338"/>
      <c r="D50" s="339"/>
      <c r="E50" s="345"/>
      <c r="F50" s="345"/>
      <c r="G50" s="609">
        <v>0</v>
      </c>
      <c r="H50" s="215"/>
      <c r="I50" s="43"/>
      <c r="J50" s="215"/>
      <c r="K50" s="158"/>
      <c r="L50" s="331"/>
      <c r="M50" s="160"/>
      <c r="N50" s="156"/>
      <c r="O50" s="410" t="s">
        <v>60</v>
      </c>
      <c r="P50" s="322">
        <v>0</v>
      </c>
      <c r="Q50" s="173">
        <v>0.2</v>
      </c>
      <c r="R50" s="96">
        <v>0</v>
      </c>
      <c r="S50" s="174" t="s">
        <v>174</v>
      </c>
      <c r="T50" s="64"/>
      <c r="U50" s="64"/>
      <c r="V50" s="63"/>
      <c r="W50" s="64"/>
      <c r="X50" s="64"/>
      <c r="Y50" s="90"/>
    </row>
    <row r="51" spans="1:25" s="1" customFormat="1" ht="23.25" thickBot="1" x14ac:dyDescent="0.3">
      <c r="A51" s="8"/>
      <c r="B51" s="343" t="s">
        <v>175</v>
      </c>
      <c r="C51" s="338"/>
      <c r="D51" s="339"/>
      <c r="E51" s="345"/>
      <c r="F51" s="345"/>
      <c r="G51" s="611">
        <v>0</v>
      </c>
      <c r="H51" s="215"/>
      <c r="I51" s="43"/>
      <c r="J51" s="215"/>
      <c r="K51" s="158"/>
      <c r="L51" s="331"/>
      <c r="M51" s="160"/>
      <c r="N51" s="156"/>
      <c r="O51" s="311" t="s">
        <v>60</v>
      </c>
      <c r="P51" s="322">
        <v>0</v>
      </c>
      <c r="Q51" s="172">
        <v>0.15</v>
      </c>
      <c r="R51" s="173">
        <v>0</v>
      </c>
      <c r="S51" s="569" t="s">
        <v>302</v>
      </c>
      <c r="T51" s="64"/>
      <c r="U51" s="64"/>
      <c r="V51" s="63"/>
      <c r="W51" s="64"/>
      <c r="X51" s="64"/>
      <c r="Y51" s="90"/>
    </row>
    <row r="52" spans="1:25" s="1" customFormat="1" ht="23.25" thickBot="1" x14ac:dyDescent="0.3">
      <c r="A52" s="8"/>
      <c r="B52" s="343" t="s">
        <v>176</v>
      </c>
      <c r="C52" s="338"/>
      <c r="D52" s="339"/>
      <c r="E52" s="345"/>
      <c r="F52" s="345"/>
      <c r="G52" s="611">
        <v>0</v>
      </c>
      <c r="H52" s="215"/>
      <c r="I52" s="43"/>
      <c r="J52" s="215"/>
      <c r="K52" s="158"/>
      <c r="L52" s="331"/>
      <c r="M52" s="160"/>
      <c r="N52" s="156"/>
      <c r="O52" s="311" t="s">
        <v>60</v>
      </c>
      <c r="P52" s="571">
        <v>0</v>
      </c>
      <c r="Q52" s="95">
        <v>0.15</v>
      </c>
      <c r="R52" s="173">
        <v>0</v>
      </c>
      <c r="S52" s="569" t="s">
        <v>303</v>
      </c>
      <c r="T52" s="64"/>
      <c r="U52" s="64"/>
      <c r="V52" s="63"/>
      <c r="W52" s="64"/>
      <c r="X52" s="64"/>
      <c r="Y52" s="90"/>
    </row>
    <row r="53" spans="1:25" s="53" customFormat="1" ht="18.75" thickBot="1" x14ac:dyDescent="0.25">
      <c r="A53" s="40"/>
      <c r="B53" s="334" t="s">
        <v>177</v>
      </c>
      <c r="C53" s="335"/>
      <c r="D53" s="336"/>
      <c r="E53" s="336"/>
      <c r="F53" s="336"/>
      <c r="G53" s="582">
        <f>SUM(G54:G56)</f>
        <v>7108303.8199999994</v>
      </c>
      <c r="H53" s="43">
        <f>G53/$G$90</f>
        <v>6.901328187439857E-3</v>
      </c>
      <c r="I53" s="91"/>
      <c r="J53" s="44"/>
      <c r="K53" s="44"/>
      <c r="L53" s="162"/>
      <c r="M53" s="163"/>
      <c r="N53" s="164"/>
      <c r="O53" s="165"/>
      <c r="P53" s="166"/>
      <c r="Q53" s="645"/>
      <c r="R53" s="646"/>
      <c r="S53" s="133"/>
      <c r="T53" s="52"/>
      <c r="U53" s="52"/>
      <c r="V53" s="52"/>
      <c r="W53" s="52"/>
      <c r="X53" s="52"/>
      <c r="Y53" s="52"/>
    </row>
    <row r="54" spans="1:25" s="1" customFormat="1" ht="18.75" thickBot="1" x14ac:dyDescent="0.3">
      <c r="A54" s="8">
        <v>25</v>
      </c>
      <c r="B54" s="66" t="s">
        <v>82</v>
      </c>
      <c r="C54" s="108"/>
      <c r="D54" s="134" t="s">
        <v>83</v>
      </c>
      <c r="E54" s="438" t="s">
        <v>84</v>
      </c>
      <c r="F54" s="438" t="s">
        <v>85</v>
      </c>
      <c r="G54" s="588">
        <f>'[1]FFIN2 Março 2018'!$G$40</f>
        <v>7010526.0499999998</v>
      </c>
      <c r="H54" s="191">
        <f>G54/$G$90</f>
        <v>6.8063974561017567E-3</v>
      </c>
      <c r="I54" s="426">
        <f>'[1]FFIN2 Março 2018'!$I$40</f>
        <v>6.1000000000000004E-3</v>
      </c>
      <c r="J54" s="200"/>
      <c r="K54" s="439"/>
      <c r="L54" s="113" t="s">
        <v>71</v>
      </c>
      <c r="M54" s="444">
        <f>'[1]FFIN2 Março 2018'!$M$40</f>
        <v>492697259.19</v>
      </c>
      <c r="N54" s="441">
        <f>G54/M54</f>
        <v>1.4228871622962519E-2</v>
      </c>
      <c r="O54" s="799" t="s">
        <v>60</v>
      </c>
      <c r="P54" s="796">
        <f>SUM(G54:G56)/G90</f>
        <v>6.901328187439857E-3</v>
      </c>
      <c r="Q54" s="790">
        <v>0.05</v>
      </c>
      <c r="R54" s="778">
        <v>0.02</v>
      </c>
      <c r="S54" s="793" t="s">
        <v>304</v>
      </c>
      <c r="T54" s="64"/>
      <c r="U54" s="64"/>
      <c r="V54" s="64"/>
      <c r="W54" s="64"/>
      <c r="X54" s="63"/>
      <c r="Y54" s="65"/>
    </row>
    <row r="55" spans="1:25" s="1" customFormat="1" ht="15.75" customHeight="1" x14ac:dyDescent="0.25">
      <c r="A55" s="8">
        <v>26</v>
      </c>
      <c r="B55" s="54" t="s">
        <v>86</v>
      </c>
      <c r="C55" s="98" t="s">
        <v>87</v>
      </c>
      <c r="D55" s="56" t="s">
        <v>88</v>
      </c>
      <c r="E55" s="109" t="s">
        <v>89</v>
      </c>
      <c r="F55" s="109" t="s">
        <v>89</v>
      </c>
      <c r="G55" s="584">
        <f>'[1]FFIN2 Março 2018'!$G$41</f>
        <v>39274.629999999997</v>
      </c>
      <c r="H55" s="191">
        <f>G55/$G$90</f>
        <v>3.8131053192696963E-5</v>
      </c>
      <c r="I55" s="442">
        <f>'[1]FFIN2 Março 2018'!$I$41</f>
        <v>-1.18E-2</v>
      </c>
      <c r="J55" s="111"/>
      <c r="K55" s="440"/>
      <c r="L55" s="118" t="s">
        <v>71</v>
      </c>
      <c r="M55" s="445">
        <f>'[1]FFIN2 Março 2018'!$M$41</f>
        <v>916409.71</v>
      </c>
      <c r="N55" s="119">
        <f>G55/M55</f>
        <v>4.2857064445552415E-2</v>
      </c>
      <c r="O55" s="800"/>
      <c r="P55" s="797"/>
      <c r="Q55" s="791"/>
      <c r="R55" s="779"/>
      <c r="S55" s="794"/>
      <c r="T55" s="64"/>
      <c r="U55" s="64"/>
      <c r="V55" s="63"/>
      <c r="W55" s="64"/>
      <c r="X55" s="63"/>
      <c r="Y55" s="65"/>
    </row>
    <row r="56" spans="1:25" s="1" customFormat="1" ht="18.75" thickBot="1" x14ac:dyDescent="0.3">
      <c r="A56" s="8">
        <v>27</v>
      </c>
      <c r="B56" s="167" t="s">
        <v>90</v>
      </c>
      <c r="C56" s="108"/>
      <c r="D56" s="87" t="s">
        <v>91</v>
      </c>
      <c r="E56" s="168" t="s">
        <v>89</v>
      </c>
      <c r="F56" s="168" t="s">
        <v>89</v>
      </c>
      <c r="G56" s="589">
        <f>'[1]FFIN2 Março 2018'!$G$42</f>
        <v>58503.14</v>
      </c>
      <c r="H56" s="191">
        <f>G56/$G$90</f>
        <v>5.6799678145403218E-5</v>
      </c>
      <c r="I56" s="443">
        <f>'[1]FFIN2 Março 2018'!$I$42</f>
        <v>-0.20300000000000001</v>
      </c>
      <c r="J56" s="138"/>
      <c r="K56" s="175"/>
      <c r="L56" s="159" t="s">
        <v>71</v>
      </c>
      <c r="M56" s="446">
        <f>'[1]FFIN2 Março 2018'!$M$42</f>
        <v>1175931.06</v>
      </c>
      <c r="N56" s="161">
        <f>G56/M56</f>
        <v>4.975048452245151E-2</v>
      </c>
      <c r="O56" s="801"/>
      <c r="P56" s="798"/>
      <c r="Q56" s="792"/>
      <c r="R56" s="780"/>
      <c r="S56" s="795"/>
      <c r="T56" s="64"/>
      <c r="U56" s="64"/>
      <c r="V56" s="63"/>
      <c r="W56" s="64"/>
      <c r="X56" s="63"/>
      <c r="Y56" s="65"/>
    </row>
    <row r="57" spans="1:25" s="1" customFormat="1" ht="23.25" thickBot="1" x14ac:dyDescent="0.3">
      <c r="A57" s="8"/>
      <c r="B57" s="346" t="s">
        <v>178</v>
      </c>
      <c r="C57" s="338"/>
      <c r="D57" s="347"/>
      <c r="E57" s="345"/>
      <c r="F57" s="345"/>
      <c r="G57" s="625">
        <v>0</v>
      </c>
      <c r="H57" s="215"/>
      <c r="I57" s="333"/>
      <c r="J57" s="215"/>
      <c r="K57" s="158"/>
      <c r="L57" s="331"/>
      <c r="M57" s="160"/>
      <c r="N57" s="187"/>
      <c r="O57" s="327" t="s">
        <v>60</v>
      </c>
      <c r="P57" s="322">
        <v>0</v>
      </c>
      <c r="Q57" s="172">
        <v>0.05</v>
      </c>
      <c r="R57" s="173">
        <v>0.01</v>
      </c>
      <c r="S57" s="641" t="s">
        <v>305</v>
      </c>
      <c r="T57" s="64"/>
      <c r="U57" s="64"/>
      <c r="V57" s="63"/>
      <c r="W57" s="64"/>
      <c r="X57" s="63"/>
      <c r="Y57" s="65"/>
    </row>
    <row r="58" spans="1:25" s="1" customFormat="1" ht="23.25" thickBot="1" x14ac:dyDescent="0.3">
      <c r="A58" s="8"/>
      <c r="B58" s="346" t="s">
        <v>179</v>
      </c>
      <c r="C58" s="338"/>
      <c r="D58" s="347"/>
      <c r="E58" s="345"/>
      <c r="F58" s="345"/>
      <c r="G58" s="625">
        <v>0</v>
      </c>
      <c r="H58" s="215"/>
      <c r="I58" s="333"/>
      <c r="J58" s="215"/>
      <c r="K58" s="158"/>
      <c r="L58" s="331"/>
      <c r="M58" s="160"/>
      <c r="N58" s="215"/>
      <c r="O58" s="327" t="s">
        <v>60</v>
      </c>
      <c r="P58" s="322">
        <v>0</v>
      </c>
      <c r="Q58" s="172">
        <v>0.05</v>
      </c>
      <c r="R58" s="173">
        <v>0</v>
      </c>
      <c r="S58" s="641" t="s">
        <v>306</v>
      </c>
      <c r="T58" s="64"/>
      <c r="U58" s="64"/>
      <c r="V58" s="63"/>
      <c r="W58" s="64"/>
      <c r="X58" s="63"/>
      <c r="Y58" s="65"/>
    </row>
    <row r="59" spans="1:25" s="53" customFormat="1" ht="18.75" thickBot="1" x14ac:dyDescent="0.25">
      <c r="A59" s="40"/>
      <c r="B59" s="334" t="s">
        <v>180</v>
      </c>
      <c r="C59" s="335"/>
      <c r="D59" s="336"/>
      <c r="E59" s="336"/>
      <c r="F59" s="336"/>
      <c r="G59" s="582">
        <f>SUM(G60:G61)</f>
        <v>58169639.240000002</v>
      </c>
      <c r="H59" s="43">
        <f t="shared" ref="H59:H72" si="4">G59/$G$90</f>
        <v>5.6475888074831844E-2</v>
      </c>
      <c r="I59" s="91"/>
      <c r="J59" s="44"/>
      <c r="K59" s="44"/>
      <c r="L59" s="44"/>
      <c r="M59" s="130"/>
      <c r="N59" s="94"/>
      <c r="O59" s="42"/>
      <c r="P59" s="176">
        <f>SUM((G4+G15+G31+G33+G53)/G90)*100</f>
        <v>81.950540714280137</v>
      </c>
      <c r="Q59" s="49"/>
      <c r="R59" s="645"/>
      <c r="S59" s="140"/>
      <c r="T59" s="52"/>
      <c r="U59" s="52"/>
      <c r="V59" s="52"/>
      <c r="W59" s="52"/>
      <c r="X59" s="52"/>
      <c r="Y59" s="52"/>
    </row>
    <row r="60" spans="1:25" s="1" customFormat="1" ht="18" customHeight="1" x14ac:dyDescent="0.25">
      <c r="A60" s="8">
        <v>28</v>
      </c>
      <c r="B60" s="177" t="s">
        <v>55</v>
      </c>
      <c r="C60" s="178"/>
      <c r="D60" s="179" t="s">
        <v>92</v>
      </c>
      <c r="E60" s="180" t="s">
        <v>93</v>
      </c>
      <c r="F60" s="180" t="s">
        <v>94</v>
      </c>
      <c r="G60" s="457">
        <f>'[1]FFIN2 Março 2018'!$G$46</f>
        <v>39458518.460000001</v>
      </c>
      <c r="H60" s="78">
        <f t="shared" si="4"/>
        <v>3.8309587290912106E-2</v>
      </c>
      <c r="I60" s="447">
        <f>'[1]FFIN2 Março 2018'!$I$46</f>
        <v>-2E-3</v>
      </c>
      <c r="J60" s="103"/>
      <c r="K60" s="112"/>
      <c r="L60" s="127" t="s">
        <v>95</v>
      </c>
      <c r="M60" s="449">
        <f>'[1]FFIN2 Março 2018'!$M$46</f>
        <v>763553525.20000005</v>
      </c>
      <c r="N60" s="135">
        <f t="shared" ref="N60:N61" si="5">G60/M60</f>
        <v>5.1677475327829181E-2</v>
      </c>
      <c r="O60" s="818" t="s">
        <v>96</v>
      </c>
      <c r="P60" s="805">
        <f>(SUM(G60:G61)/G90)</f>
        <v>5.6475888074831844E-2</v>
      </c>
      <c r="Q60" s="790">
        <v>0.3</v>
      </c>
      <c r="R60" s="787">
        <v>0.15</v>
      </c>
      <c r="S60" s="793" t="s">
        <v>307</v>
      </c>
      <c r="T60" s="64"/>
      <c r="U60" s="64"/>
      <c r="V60" s="63"/>
      <c r="W60" s="64"/>
      <c r="X60" s="64"/>
      <c r="Y60" s="182"/>
    </row>
    <row r="61" spans="1:25" s="1" customFormat="1" ht="18.75" thickBot="1" x14ac:dyDescent="0.3">
      <c r="A61" s="8"/>
      <c r="B61" s="209" t="s">
        <v>116</v>
      </c>
      <c r="C61" s="87" t="s">
        <v>100</v>
      </c>
      <c r="D61" s="633" t="s">
        <v>320</v>
      </c>
      <c r="E61" s="110" t="s">
        <v>39</v>
      </c>
      <c r="F61" s="110" t="s">
        <v>94</v>
      </c>
      <c r="G61" s="591">
        <f>'[1]FFIN2 Março 2018'!$G$47</f>
        <v>18711120.780000001</v>
      </c>
      <c r="H61" s="78">
        <f t="shared" si="4"/>
        <v>1.8166300783919738E-2</v>
      </c>
      <c r="I61" s="367">
        <f>'[1]FFIN2 Março 2018'!$I$47</f>
        <v>-2.18E-2</v>
      </c>
      <c r="J61" s="146"/>
      <c r="K61" s="405"/>
      <c r="L61" s="211" t="s">
        <v>321</v>
      </c>
      <c r="M61" s="640">
        <f>'[1]FFIN2 Março 2018'!$M$47</f>
        <v>276905023.88999999</v>
      </c>
      <c r="N61" s="378">
        <f t="shared" si="5"/>
        <v>6.7572341292850502E-2</v>
      </c>
      <c r="O61" s="820"/>
      <c r="P61" s="807"/>
      <c r="Q61" s="792"/>
      <c r="R61" s="789"/>
      <c r="S61" s="795"/>
      <c r="T61" s="64"/>
      <c r="U61" s="64"/>
      <c r="V61" s="63"/>
      <c r="W61" s="64"/>
      <c r="X61" s="64"/>
      <c r="Y61" s="182"/>
    </row>
    <row r="62" spans="1:25" s="1" customFormat="1" ht="18.75" thickBot="1" x14ac:dyDescent="0.3">
      <c r="A62" s="185"/>
      <c r="B62" s="334" t="s">
        <v>182</v>
      </c>
      <c r="C62" s="335"/>
      <c r="D62" s="336"/>
      <c r="E62" s="336"/>
      <c r="F62" s="336"/>
      <c r="G62" s="582">
        <f>SUM(G63)</f>
        <v>0</v>
      </c>
      <c r="H62" s="187">
        <f t="shared" si="4"/>
        <v>0</v>
      </c>
      <c r="I62" s="91"/>
      <c r="J62" s="44"/>
      <c r="K62" s="44"/>
      <c r="L62" s="44"/>
      <c r="M62" s="130"/>
      <c r="N62" s="131"/>
      <c r="O62" s="42"/>
      <c r="P62" s="166"/>
      <c r="Q62" s="49"/>
      <c r="R62" s="645"/>
      <c r="S62" s="140"/>
      <c r="T62" s="64"/>
      <c r="U62" s="64"/>
      <c r="V62" s="63"/>
      <c r="W62" s="64"/>
      <c r="X62" s="64"/>
      <c r="Y62" s="182"/>
    </row>
    <row r="63" spans="1:25" s="1" customFormat="1" ht="23.25" thickBot="1" x14ac:dyDescent="0.3">
      <c r="A63" s="185">
        <v>31</v>
      </c>
      <c r="B63" s="188" t="s">
        <v>50</v>
      </c>
      <c r="C63" s="108"/>
      <c r="D63" s="189" t="s">
        <v>101</v>
      </c>
      <c r="E63" s="190" t="s">
        <v>39</v>
      </c>
      <c r="F63" s="115" t="s">
        <v>49</v>
      </c>
      <c r="G63" s="627">
        <f>'[1]FFIN2 Março 2018'!$G$49</f>
        <v>0</v>
      </c>
      <c r="H63" s="191">
        <f t="shared" si="4"/>
        <v>0</v>
      </c>
      <c r="I63" s="71">
        <f>'[1]FFIN2 Março 2018'!$I$49</f>
        <v>0</v>
      </c>
      <c r="J63" s="146"/>
      <c r="K63" s="192"/>
      <c r="L63" s="127" t="s">
        <v>95</v>
      </c>
      <c r="M63" s="626">
        <f>'[1]FFIN2 Março 2018'!$M$49</f>
        <v>0</v>
      </c>
      <c r="N63" s="441" t="e">
        <f>G63/M63</f>
        <v>#DIV/0!</v>
      </c>
      <c r="O63" s="193" t="s">
        <v>102</v>
      </c>
      <c r="P63" s="194">
        <f>G63/G90</f>
        <v>0</v>
      </c>
      <c r="Q63" s="195">
        <v>0.3</v>
      </c>
      <c r="R63" s="196">
        <v>0.02</v>
      </c>
      <c r="S63" s="641" t="s">
        <v>308</v>
      </c>
      <c r="T63" s="64"/>
      <c r="U63" s="64"/>
      <c r="V63" s="63"/>
      <c r="W63" s="64"/>
      <c r="X63" s="64"/>
      <c r="Y63" s="182"/>
    </row>
    <row r="64" spans="1:25" s="53" customFormat="1" ht="18.75" thickBot="1" x14ac:dyDescent="0.25">
      <c r="A64" s="40"/>
      <c r="B64" s="334" t="s">
        <v>181</v>
      </c>
      <c r="C64" s="335"/>
      <c r="D64" s="336"/>
      <c r="E64" s="336"/>
      <c r="F64" s="336"/>
      <c r="G64" s="582">
        <f>SUM(G65:G72)</f>
        <v>81581296.319999993</v>
      </c>
      <c r="H64" s="43">
        <f t="shared" si="4"/>
        <v>7.9205857560137247E-2</v>
      </c>
      <c r="I64" s="91"/>
      <c r="J64" s="29"/>
      <c r="K64" s="44"/>
      <c r="L64" s="44"/>
      <c r="M64" s="130"/>
      <c r="N64" s="131"/>
      <c r="O64" s="165"/>
      <c r="P64" s="645"/>
      <c r="Q64" s="49"/>
      <c r="R64" s="645"/>
      <c r="S64" s="140"/>
      <c r="T64" s="52"/>
      <c r="U64" s="52"/>
      <c r="V64" s="52"/>
      <c r="W64" s="52"/>
      <c r="X64" s="52"/>
      <c r="Y64" s="52"/>
    </row>
    <row r="65" spans="1:25" s="1" customFormat="1" ht="18" x14ac:dyDescent="0.25">
      <c r="A65" s="8">
        <v>34</v>
      </c>
      <c r="B65" s="54" t="s">
        <v>107</v>
      </c>
      <c r="C65" s="197"/>
      <c r="D65" s="68" t="s">
        <v>108</v>
      </c>
      <c r="E65" s="124" t="s">
        <v>39</v>
      </c>
      <c r="F65" s="124" t="s">
        <v>49</v>
      </c>
      <c r="G65" s="384">
        <f>'[1]FFIN2 Março 2018'!$G$51</f>
        <v>10220207.02</v>
      </c>
      <c r="H65" s="78">
        <f t="shared" si="4"/>
        <v>9.922620722843091E-3</v>
      </c>
      <c r="I65" s="376">
        <f>'[1]FFIN2 Março 2018'!$I$51</f>
        <v>1.17E-2</v>
      </c>
      <c r="J65" s="181"/>
      <c r="K65" s="152"/>
      <c r="L65" s="113" t="s">
        <v>95</v>
      </c>
      <c r="M65" s="455">
        <f>'[1]FFIN2 Março 2018'!$M$51</f>
        <v>230802302.15000001</v>
      </c>
      <c r="N65" s="78">
        <f>G65/M65</f>
        <v>4.4281217842263187E-2</v>
      </c>
      <c r="O65" s="802" t="s">
        <v>102</v>
      </c>
      <c r="P65" s="785">
        <f>SUM(G65:G72)/G90</f>
        <v>7.9205857560137247E-2</v>
      </c>
      <c r="Q65" s="790"/>
      <c r="R65" s="791"/>
      <c r="S65" s="816" t="s">
        <v>309</v>
      </c>
      <c r="T65" s="634"/>
      <c r="U65" s="64"/>
      <c r="V65" s="63"/>
      <c r="W65" s="64"/>
      <c r="X65" s="64"/>
      <c r="Y65" s="182"/>
    </row>
    <row r="66" spans="1:25" s="1" customFormat="1" ht="19.5" thickBot="1" x14ac:dyDescent="0.3">
      <c r="A66" s="8"/>
      <c r="B66" s="107" t="s">
        <v>113</v>
      </c>
      <c r="C66" s="67" t="s">
        <v>114</v>
      </c>
      <c r="D66" s="68" t="s">
        <v>115</v>
      </c>
      <c r="E66" s="124" t="s">
        <v>39</v>
      </c>
      <c r="F66" s="124" t="s">
        <v>49</v>
      </c>
      <c r="G66" s="364">
        <f>'[1]FFIN2 Março 2018'!$G$52</f>
        <v>23515726.350000001</v>
      </c>
      <c r="H66" s="78">
        <f t="shared" si="4"/>
        <v>2.2831008524249772E-2</v>
      </c>
      <c r="I66" s="358">
        <f>'[1]FFIN2 Março 2018'!$I$52</f>
        <v>4.4000000000000003E-3</v>
      </c>
      <c r="J66" s="181"/>
      <c r="K66" s="206"/>
      <c r="L66" s="113" t="s">
        <v>95</v>
      </c>
      <c r="M66" s="451">
        <f>'[1]FFIN2 Março 2018'!$M$52</f>
        <v>207746443.83000001</v>
      </c>
      <c r="N66" s="70">
        <f t="shared" ref="N66:N70" si="6">G66/M66</f>
        <v>0.11319436288037278</v>
      </c>
      <c r="O66" s="802"/>
      <c r="P66" s="785"/>
      <c r="Q66" s="791"/>
      <c r="R66" s="791"/>
      <c r="S66" s="817"/>
      <c r="T66" s="634"/>
      <c r="U66" s="64"/>
      <c r="V66" s="63"/>
      <c r="W66" s="64"/>
      <c r="X66" s="64"/>
      <c r="Y66" s="182"/>
    </row>
    <row r="67" spans="1:25" s="1" customFormat="1" ht="18" x14ac:dyDescent="0.25">
      <c r="A67" s="8"/>
      <c r="B67" s="54" t="s">
        <v>75</v>
      </c>
      <c r="C67" s="197"/>
      <c r="D67" s="68" t="s">
        <v>103</v>
      </c>
      <c r="E67" s="124" t="s">
        <v>104</v>
      </c>
      <c r="F67" s="124" t="s">
        <v>105</v>
      </c>
      <c r="G67" s="384">
        <f>'[1]FFIN2 Março 2018'!$G$53</f>
        <v>21578325.66</v>
      </c>
      <c r="H67" s="78">
        <f t="shared" si="4"/>
        <v>2.0950019988750953E-2</v>
      </c>
      <c r="I67" s="376">
        <f>'[1]FFIN2 Março 2018'!$I$53</f>
        <v>0.03</v>
      </c>
      <c r="J67" s="151"/>
      <c r="K67" s="198"/>
      <c r="L67" s="118" t="s">
        <v>95</v>
      </c>
      <c r="M67" s="452">
        <f>'[1]FFIN2 Março 2018'!$M$53</f>
        <v>588053816.77999997</v>
      </c>
      <c r="N67" s="78">
        <f t="shared" si="6"/>
        <v>3.6694474288350355E-2</v>
      </c>
      <c r="O67" s="802"/>
      <c r="P67" s="785"/>
      <c r="Q67" s="791"/>
      <c r="R67" s="791"/>
      <c r="S67" s="817"/>
      <c r="T67" s="634"/>
      <c r="U67" s="64"/>
      <c r="V67" s="63"/>
      <c r="W67" s="64"/>
      <c r="X67" s="64"/>
      <c r="Y67" s="182"/>
    </row>
    <row r="68" spans="1:25" s="1" customFormat="1" ht="18" x14ac:dyDescent="0.25">
      <c r="A68" s="8"/>
      <c r="B68" s="54" t="s">
        <v>75</v>
      </c>
      <c r="C68" s="197"/>
      <c r="D68" s="68" t="s">
        <v>106</v>
      </c>
      <c r="E68" s="124" t="s">
        <v>39</v>
      </c>
      <c r="F68" s="124" t="s">
        <v>49</v>
      </c>
      <c r="G68" s="384">
        <f>'[1]FFIN2 Março 2018'!$G$54</f>
        <v>2820368.69</v>
      </c>
      <c r="H68" s="78">
        <f t="shared" si="4"/>
        <v>2.7382467649321473E-3</v>
      </c>
      <c r="I68" s="376">
        <f>'[1]FFIN2 Março 2018'!$I$54</f>
        <v>1.29E-2</v>
      </c>
      <c r="J68" s="200"/>
      <c r="K68" s="201"/>
      <c r="L68" s="202" t="s">
        <v>95</v>
      </c>
      <c r="M68" s="434">
        <f>'[1]FFIN2 Março 2018'!$M$54</f>
        <v>338055223.95999998</v>
      </c>
      <c r="N68" s="119">
        <f t="shared" si="6"/>
        <v>8.3429229608169495E-3</v>
      </c>
      <c r="O68" s="802"/>
      <c r="P68" s="785"/>
      <c r="Q68" s="791"/>
      <c r="R68" s="791"/>
      <c r="S68" s="817"/>
      <c r="T68" s="634"/>
      <c r="U68" s="64"/>
      <c r="V68" s="63"/>
      <c r="W68" s="64"/>
      <c r="X68" s="64"/>
      <c r="Y68" s="182"/>
    </row>
    <row r="69" spans="1:25" s="1" customFormat="1" ht="18" x14ac:dyDescent="0.25">
      <c r="A69" s="8"/>
      <c r="B69" s="54" t="s">
        <v>206</v>
      </c>
      <c r="C69" s="197"/>
      <c r="D69" s="68" t="s">
        <v>103</v>
      </c>
      <c r="E69" s="124" t="s">
        <v>104</v>
      </c>
      <c r="F69" s="124" t="s">
        <v>105</v>
      </c>
      <c r="G69" s="384">
        <f>'[2]FFPREV Março 2018'!$G$35</f>
        <v>7526100.6200000001</v>
      </c>
      <c r="H69" s="78">
        <f t="shared" si="4"/>
        <v>7.3069598128565347E-3</v>
      </c>
      <c r="I69" s="376">
        <f>'[2]FFPREV Março 2018'!$I$35</f>
        <v>0.03</v>
      </c>
      <c r="J69" s="181"/>
      <c r="K69" s="388"/>
      <c r="L69" s="387" t="s">
        <v>207</v>
      </c>
      <c r="M69" s="453">
        <f>'[2]FFPREV Março 2018'!$M$35</f>
        <v>588053816.77999997</v>
      </c>
      <c r="N69" s="389">
        <f t="shared" si="6"/>
        <v>1.2798319482408241E-2</v>
      </c>
      <c r="O69" s="802"/>
      <c r="P69" s="785"/>
      <c r="Q69" s="791"/>
      <c r="R69" s="791"/>
      <c r="S69" s="817"/>
      <c r="T69" s="634"/>
      <c r="U69" s="64"/>
      <c r="V69" s="63"/>
      <c r="W69" s="64"/>
      <c r="X69" s="64"/>
      <c r="Y69" s="182"/>
    </row>
    <row r="70" spans="1:25" s="1" customFormat="1" ht="18" x14ac:dyDescent="0.25">
      <c r="A70" s="8"/>
      <c r="B70" s="54" t="s">
        <v>206</v>
      </c>
      <c r="C70" s="197"/>
      <c r="D70" s="68" t="s">
        <v>208</v>
      </c>
      <c r="E70" s="124" t="s">
        <v>39</v>
      </c>
      <c r="F70" s="124" t="s">
        <v>49</v>
      </c>
      <c r="G70" s="384">
        <f>'[2]FFPREV Março 2018'!$G$36</f>
        <v>4077175.15</v>
      </c>
      <c r="H70" s="78">
        <f t="shared" si="4"/>
        <v>3.9584582342492404E-3</v>
      </c>
      <c r="I70" s="376">
        <f>'[2]FFPREV Março 2018'!$I$36</f>
        <v>1.29E-2</v>
      </c>
      <c r="J70" s="181"/>
      <c r="K70" s="390"/>
      <c r="L70" s="387" t="s">
        <v>95</v>
      </c>
      <c r="M70" s="453">
        <f>'[2]FFPREV Março 2018'!$M$36</f>
        <v>338055223.95999998</v>
      </c>
      <c r="N70" s="389">
        <f t="shared" si="6"/>
        <v>1.2060677844997382E-2</v>
      </c>
      <c r="O70" s="802"/>
      <c r="P70" s="785"/>
      <c r="Q70" s="791"/>
      <c r="R70" s="791"/>
      <c r="S70" s="817"/>
      <c r="T70" s="634"/>
      <c r="U70" s="64"/>
      <c r="V70" s="63"/>
      <c r="W70" s="64"/>
      <c r="X70" s="64"/>
      <c r="Y70" s="182"/>
    </row>
    <row r="71" spans="1:25" s="1" customFormat="1" ht="18.75" thickBot="1" x14ac:dyDescent="0.3">
      <c r="A71" s="8">
        <v>35</v>
      </c>
      <c r="B71" s="177" t="s">
        <v>50</v>
      </c>
      <c r="C71" s="108"/>
      <c r="D71" s="184" t="s">
        <v>109</v>
      </c>
      <c r="E71" s="110" t="s">
        <v>110</v>
      </c>
      <c r="F71" s="110" t="s">
        <v>111</v>
      </c>
      <c r="G71" s="591">
        <f>'[1]FFIN2 Março 2018'!$G$55</f>
        <v>7285780.5899999999</v>
      </c>
      <c r="H71" s="78">
        <f t="shared" si="4"/>
        <v>7.0736372876742341E-3</v>
      </c>
      <c r="I71" s="358" t="str">
        <f>'[1]FFIN2 Março 2018'!$I$55</f>
        <v>0,64,%</v>
      </c>
      <c r="J71" s="116"/>
      <c r="K71" s="198"/>
      <c r="L71" s="113" t="s">
        <v>112</v>
      </c>
      <c r="M71" s="452">
        <f>'[1]FFIN2 Março 2018'!$M$55</f>
        <v>429147881.42000002</v>
      </c>
      <c r="N71" s="204">
        <f>G71/M71</f>
        <v>1.6977319253894965E-2</v>
      </c>
      <c r="O71" s="802"/>
      <c r="P71" s="785"/>
      <c r="Q71" s="791"/>
      <c r="R71" s="791"/>
      <c r="S71" s="817"/>
      <c r="T71" s="635"/>
      <c r="U71" s="64"/>
      <c r="V71" s="63"/>
      <c r="W71" s="64"/>
      <c r="X71" s="64"/>
      <c r="Y71" s="182"/>
    </row>
    <row r="72" spans="1:25" s="1" customFormat="1" ht="18.75" thickBot="1" x14ac:dyDescent="0.3">
      <c r="A72" s="8">
        <v>36</v>
      </c>
      <c r="B72" s="391" t="s">
        <v>209</v>
      </c>
      <c r="C72" s="108"/>
      <c r="D72" s="88" t="s">
        <v>327</v>
      </c>
      <c r="E72" s="180" t="s">
        <v>39</v>
      </c>
      <c r="F72" s="155" t="s">
        <v>49</v>
      </c>
      <c r="G72" s="454">
        <f>'[2]FFPREV Março 2018'!$G$37</f>
        <v>4557612.24</v>
      </c>
      <c r="H72" s="78">
        <f t="shared" si="4"/>
        <v>4.4249062245812825E-3</v>
      </c>
      <c r="I72" s="367">
        <f>'[2]FFPREV Março 2018'!$I$37</f>
        <v>1.38E-2</v>
      </c>
      <c r="J72" s="181"/>
      <c r="K72" s="324"/>
      <c r="L72" s="392" t="s">
        <v>211</v>
      </c>
      <c r="M72" s="456">
        <f>'[2]FFPREV Março 2018'!$M$37</f>
        <v>344077075.33999997</v>
      </c>
      <c r="N72" s="70">
        <f>G72/M72</f>
        <v>1.32459049632888E-2</v>
      </c>
      <c r="O72" s="802"/>
      <c r="P72" s="785"/>
      <c r="Q72" s="792"/>
      <c r="R72" s="791"/>
      <c r="S72" s="795"/>
      <c r="T72" s="64"/>
      <c r="U72" s="64"/>
      <c r="V72" s="63"/>
      <c r="W72" s="64"/>
      <c r="X72" s="64"/>
      <c r="Y72" s="182"/>
    </row>
    <row r="73" spans="1:25" s="1" customFormat="1" ht="23.25" thickBot="1" x14ac:dyDescent="0.3">
      <c r="A73" s="8"/>
      <c r="B73" s="350" t="s">
        <v>183</v>
      </c>
      <c r="C73" s="338"/>
      <c r="D73" s="348"/>
      <c r="E73" s="340"/>
      <c r="F73" s="342"/>
      <c r="G73" s="612">
        <v>0</v>
      </c>
      <c r="H73" s="215"/>
      <c r="I73" s="116"/>
      <c r="J73" s="408"/>
      <c r="K73" s="318"/>
      <c r="L73" s="409"/>
      <c r="M73" s="317"/>
      <c r="N73" s="187"/>
      <c r="O73" s="410" t="s">
        <v>96</v>
      </c>
      <c r="P73" s="322">
        <v>0</v>
      </c>
      <c r="Q73" s="95">
        <v>0.2</v>
      </c>
      <c r="R73" s="96">
        <v>0</v>
      </c>
      <c r="S73" s="581" t="s">
        <v>310</v>
      </c>
      <c r="T73" s="64"/>
      <c r="U73" s="64"/>
      <c r="V73" s="63"/>
      <c r="W73" s="64"/>
      <c r="X73" s="64"/>
      <c r="Y73" s="182"/>
    </row>
    <row r="74" spans="1:25" s="53" customFormat="1" ht="18.75" thickBot="1" x14ac:dyDescent="0.25">
      <c r="A74" s="40"/>
      <c r="B74" s="350" t="s">
        <v>184</v>
      </c>
      <c r="C74" s="335"/>
      <c r="D74" s="336"/>
      <c r="E74" s="336"/>
      <c r="F74" s="336"/>
      <c r="G74" s="582">
        <f>SUM(G75:G78)</f>
        <v>15252894.370000001</v>
      </c>
      <c r="H74" s="43">
        <f t="shared" ref="H74:H87" si="7">G74/$G$90</f>
        <v>1.480876908490438E-2</v>
      </c>
      <c r="I74" s="412"/>
      <c r="J74" s="44"/>
      <c r="K74" s="44"/>
      <c r="L74" s="44"/>
      <c r="M74" s="130"/>
      <c r="N74" s="131"/>
      <c r="O74" s="42"/>
      <c r="P74" s="166"/>
      <c r="Q74" s="645"/>
      <c r="R74" s="645"/>
      <c r="S74" s="140"/>
      <c r="T74" s="52"/>
      <c r="U74" s="52"/>
      <c r="V74" s="52"/>
      <c r="W74" s="52"/>
      <c r="X74" s="52"/>
      <c r="Y74" s="52"/>
    </row>
    <row r="75" spans="1:25" s="1" customFormat="1" ht="18.75" thickBot="1" x14ac:dyDescent="0.3">
      <c r="A75" s="8">
        <v>39</v>
      </c>
      <c r="B75" s="209" t="s">
        <v>116</v>
      </c>
      <c r="C75" s="87" t="s">
        <v>100</v>
      </c>
      <c r="D75" s="210" t="s">
        <v>117</v>
      </c>
      <c r="E75" s="110" t="s">
        <v>38</v>
      </c>
      <c r="F75" s="110" t="s">
        <v>39</v>
      </c>
      <c r="G75" s="591">
        <f>'[1]FFIN2 Março 2018'!$G$58</f>
        <v>3364114.12</v>
      </c>
      <c r="H75" s="614">
        <f t="shared" si="7"/>
        <v>3.2661597182716412E-3</v>
      </c>
      <c r="I75" s="416">
        <f>'[1]FFIN2 Março 2018'!$I$58</f>
        <v>-2.7663E-2</v>
      </c>
      <c r="J75" s="117"/>
      <c r="K75" s="377"/>
      <c r="L75" s="211" t="s">
        <v>118</v>
      </c>
      <c r="M75" s="458">
        <f>'[1]FFIN2 Março 2018'!$M$58</f>
        <v>1200877159.3299999</v>
      </c>
      <c r="N75" s="378">
        <f>G75/M75</f>
        <v>2.8013807189712272E-3</v>
      </c>
      <c r="O75" s="799" t="s">
        <v>96</v>
      </c>
      <c r="P75" s="796">
        <f>SUM(G75:G78)/G90</f>
        <v>1.480876908490438E-2</v>
      </c>
      <c r="Q75" s="778">
        <v>0.1</v>
      </c>
      <c r="R75" s="778">
        <v>0.03</v>
      </c>
      <c r="S75" s="813" t="s">
        <v>311</v>
      </c>
      <c r="T75" s="64"/>
      <c r="U75" s="64"/>
      <c r="V75" s="63"/>
      <c r="W75" s="64"/>
      <c r="X75" s="64"/>
      <c r="Y75" s="90"/>
    </row>
    <row r="76" spans="1:25" s="1" customFormat="1" ht="18.75" thickBot="1" x14ac:dyDescent="0.3">
      <c r="A76" s="8"/>
      <c r="B76" s="393" t="s">
        <v>212</v>
      </c>
      <c r="C76" s="87" t="s">
        <v>100</v>
      </c>
      <c r="D76" s="210" t="s">
        <v>117</v>
      </c>
      <c r="E76" s="110" t="s">
        <v>38</v>
      </c>
      <c r="F76" s="110" t="s">
        <v>39</v>
      </c>
      <c r="G76" s="457">
        <f>'[2]FFPREV Março 2018'!$G$40</f>
        <v>3315764.25</v>
      </c>
      <c r="H76" s="78">
        <f t="shared" si="7"/>
        <v>3.2192176728639572E-3</v>
      </c>
      <c r="I76" s="447">
        <f>'[2]FFPREV Março 2018'!$I$40</f>
        <v>-2.7663E-2</v>
      </c>
      <c r="J76" s="411"/>
      <c r="K76" s="403"/>
      <c r="L76" s="211" t="s">
        <v>71</v>
      </c>
      <c r="M76" s="458">
        <f>'[2]FFPREV Março 2018'!$M$40</f>
        <v>1200877159.3299999</v>
      </c>
      <c r="N76" s="378">
        <f>G76/M76</f>
        <v>2.7611185908889713E-3</v>
      </c>
      <c r="O76" s="800"/>
      <c r="P76" s="797"/>
      <c r="Q76" s="779"/>
      <c r="R76" s="779"/>
      <c r="S76" s="814"/>
      <c r="T76" s="64"/>
      <c r="U76" s="64"/>
      <c r="V76" s="63"/>
      <c r="W76" s="64"/>
      <c r="X76" s="64"/>
      <c r="Y76" s="90"/>
    </row>
    <row r="77" spans="1:25" s="1" customFormat="1" ht="18" x14ac:dyDescent="0.25">
      <c r="A77" s="8">
        <v>40</v>
      </c>
      <c r="B77" s="66" t="s">
        <v>107</v>
      </c>
      <c r="C77" s="197"/>
      <c r="D77" s="179" t="s">
        <v>119</v>
      </c>
      <c r="E77" s="124" t="s">
        <v>120</v>
      </c>
      <c r="F77" s="124" t="s">
        <v>120</v>
      </c>
      <c r="G77" s="384">
        <f>'[1]FFIN2 Março 2018'!$G$59</f>
        <v>5358135</v>
      </c>
      <c r="H77" s="78">
        <f t="shared" si="7"/>
        <v>5.202119808605488E-3</v>
      </c>
      <c r="I77" s="415">
        <f>'[1]FFIN2 Março 2018'!$I$59</f>
        <v>1.2999999999999999E-3</v>
      </c>
      <c r="J77" s="111"/>
      <c r="K77" s="126"/>
      <c r="L77" s="113" t="s">
        <v>95</v>
      </c>
      <c r="M77" s="455">
        <f>'[1]FFIN2 Março 2018'!$M$59</f>
        <v>34817161.630000003</v>
      </c>
      <c r="N77" s="623">
        <f>G77/M77</f>
        <v>0.15389350392604073</v>
      </c>
      <c r="O77" s="800"/>
      <c r="P77" s="797"/>
      <c r="Q77" s="779"/>
      <c r="R77" s="779"/>
      <c r="S77" s="814"/>
      <c r="T77" s="64"/>
      <c r="U77" s="64"/>
      <c r="V77" s="63"/>
      <c r="W77" s="64"/>
      <c r="X77" s="64"/>
      <c r="Y77" s="90"/>
    </row>
    <row r="78" spans="1:25" s="1" customFormat="1" ht="18.75" thickBot="1" x14ac:dyDescent="0.3">
      <c r="A78" s="8"/>
      <c r="B78" s="413" t="s">
        <v>202</v>
      </c>
      <c r="C78" s="197"/>
      <c r="D78" s="88" t="s">
        <v>119</v>
      </c>
      <c r="E78" s="124" t="s">
        <v>120</v>
      </c>
      <c r="F78" s="124" t="s">
        <v>120</v>
      </c>
      <c r="G78" s="366">
        <f>'[2]FFPREV Março 2018'!$G$41</f>
        <v>3214881</v>
      </c>
      <c r="H78" s="89">
        <f t="shared" si="7"/>
        <v>3.121271885163293E-3</v>
      </c>
      <c r="I78" s="367">
        <f>'[2]FFPREV Março 2018'!$I$41</f>
        <v>1.2999999999999999E-3</v>
      </c>
      <c r="J78" s="169"/>
      <c r="K78" s="405"/>
      <c r="L78" s="387" t="s">
        <v>95</v>
      </c>
      <c r="M78" s="459">
        <f>'[2]FFPREV Março 2018'!$M$41</f>
        <v>34817161.630000003</v>
      </c>
      <c r="N78" s="623">
        <f>G78/M78</f>
        <v>9.2336102355624436E-2</v>
      </c>
      <c r="O78" s="801"/>
      <c r="P78" s="798"/>
      <c r="Q78" s="780"/>
      <c r="R78" s="780"/>
      <c r="S78" s="815"/>
      <c r="T78" s="64"/>
      <c r="U78" s="64"/>
      <c r="V78" s="63"/>
      <c r="W78" s="64"/>
      <c r="X78" s="64"/>
      <c r="Y78" s="90"/>
    </row>
    <row r="79" spans="1:25" s="1" customFormat="1" ht="18.75" thickBot="1" x14ac:dyDescent="0.3">
      <c r="A79" s="8"/>
      <c r="B79" s="350" t="s">
        <v>185</v>
      </c>
      <c r="C79" s="335"/>
      <c r="D79" s="336"/>
      <c r="E79" s="336"/>
      <c r="F79" s="336"/>
      <c r="G79" s="582">
        <f>SUM(G80:G82)</f>
        <v>15343438.01</v>
      </c>
      <c r="H79" s="43">
        <f t="shared" si="7"/>
        <v>1.4896676325611686E-2</v>
      </c>
      <c r="I79" s="91"/>
      <c r="J79" s="92"/>
      <c r="K79" s="92"/>
      <c r="L79" s="44"/>
      <c r="M79" s="93"/>
      <c r="N79" s="131"/>
      <c r="O79" s="42"/>
      <c r="P79" s="645"/>
      <c r="Q79" s="49"/>
      <c r="R79" s="49"/>
      <c r="S79" s="140"/>
      <c r="T79" s="64"/>
      <c r="U79" s="64"/>
      <c r="V79" s="63"/>
      <c r="W79" s="64"/>
      <c r="X79" s="64"/>
      <c r="Y79" s="90"/>
    </row>
    <row r="80" spans="1:25" s="1" customFormat="1" ht="18" x14ac:dyDescent="0.25">
      <c r="A80" s="8"/>
      <c r="B80" s="148" t="s">
        <v>124</v>
      </c>
      <c r="C80" s="216"/>
      <c r="D80" s="217" t="s">
        <v>125</v>
      </c>
      <c r="E80" s="100" t="s">
        <v>89</v>
      </c>
      <c r="F80" s="100" t="s">
        <v>89</v>
      </c>
      <c r="G80" s="588">
        <f>'[1]FFIN2 Março 2018'!$G$61</f>
        <v>14022737.119999999</v>
      </c>
      <c r="H80" s="218">
        <f t="shared" si="7"/>
        <v>1.3614430868729412E-2</v>
      </c>
      <c r="I80" s="425">
        <f>'[1]FFIN2 Março 2018'!$I$61</f>
        <v>-4.7399999999999997E-4</v>
      </c>
      <c r="J80" s="219"/>
      <c r="K80" s="220"/>
      <c r="L80" s="216" t="s">
        <v>80</v>
      </c>
      <c r="M80" s="461">
        <f>'[1]FFIN2 Março 2018'!$M$61</f>
        <v>99561433.519999996</v>
      </c>
      <c r="N80" s="135">
        <f>G80/M80</f>
        <v>0.14084507046780417</v>
      </c>
      <c r="O80" s="781" t="s">
        <v>126</v>
      </c>
      <c r="P80" s="805">
        <f>SUM(G80:G82)/G90</f>
        <v>1.4896676325611686E-2</v>
      </c>
      <c r="Q80" s="808">
        <v>0.05</v>
      </c>
      <c r="R80" s="790">
        <v>0.03</v>
      </c>
      <c r="S80" s="793" t="s">
        <v>312</v>
      </c>
      <c r="T80" s="64"/>
      <c r="U80" s="64"/>
      <c r="V80" s="63"/>
      <c r="W80" s="64"/>
      <c r="X80" s="64"/>
      <c r="Y80" s="90"/>
    </row>
    <row r="81" spans="1:25" s="1" customFormat="1" ht="18" x14ac:dyDescent="0.25">
      <c r="A81" s="8"/>
      <c r="B81" s="221" t="s">
        <v>127</v>
      </c>
      <c r="C81" s="222"/>
      <c r="D81" s="223" t="s">
        <v>128</v>
      </c>
      <c r="E81" s="180" t="s">
        <v>89</v>
      </c>
      <c r="F81" s="180" t="s">
        <v>89</v>
      </c>
      <c r="G81" s="384">
        <f>'[1]FFIN2 Março 2018'!$G$62</f>
        <v>463515.72</v>
      </c>
      <c r="H81" s="78">
        <f t="shared" si="7"/>
        <v>4.5001932736148581E-4</v>
      </c>
      <c r="I81" s="448">
        <f>'[1]FFIN2 Março 2018'!$I$62</f>
        <v>-1.1999999999999999E-3</v>
      </c>
      <c r="J81" s="224"/>
      <c r="K81" s="225"/>
      <c r="L81" s="226" t="s">
        <v>80</v>
      </c>
      <c r="M81" s="428">
        <f>'[1]FFIN2 Março 2018'!$M$62</f>
        <v>216123151.28999999</v>
      </c>
      <c r="N81" s="114">
        <f>G81/M81</f>
        <v>2.1446833309312699E-3</v>
      </c>
      <c r="O81" s="782"/>
      <c r="P81" s="806"/>
      <c r="Q81" s="809"/>
      <c r="R81" s="791"/>
      <c r="S81" s="794"/>
      <c r="T81" s="64"/>
      <c r="U81" s="64"/>
      <c r="V81" s="63"/>
      <c r="W81" s="64"/>
      <c r="X81" s="64"/>
      <c r="Y81" s="90"/>
    </row>
    <row r="82" spans="1:25" s="1" customFormat="1" ht="18.75" thickBot="1" x14ac:dyDescent="0.3">
      <c r="A82" s="8"/>
      <c r="B82" s="227" t="s">
        <v>129</v>
      </c>
      <c r="C82" s="216"/>
      <c r="D82" s="228" t="s">
        <v>130</v>
      </c>
      <c r="E82" s="155" t="s">
        <v>89</v>
      </c>
      <c r="F82" s="155" t="s">
        <v>89</v>
      </c>
      <c r="G82" s="385">
        <f>'[1]FFIN2 Março 2018'!$G$63</f>
        <v>857185.17</v>
      </c>
      <c r="H82" s="89">
        <f t="shared" si="7"/>
        <v>8.3222612952078715E-4</v>
      </c>
      <c r="I82" s="460">
        <f>'[1]FFIN2 Março 2018'!$I$63</f>
        <v>5.6599999999999998E-2</v>
      </c>
      <c r="J82" s="229"/>
      <c r="K82" s="230"/>
      <c r="L82" s="231" t="s">
        <v>80</v>
      </c>
      <c r="M82" s="428">
        <f>'[1]FFIN2 Março 2018'!$M$63</f>
        <v>201862699.61000001</v>
      </c>
      <c r="N82" s="171">
        <f>G82/M82</f>
        <v>4.2463772240046681E-3</v>
      </c>
      <c r="O82" s="783"/>
      <c r="P82" s="807"/>
      <c r="Q82" s="810"/>
      <c r="R82" s="792"/>
      <c r="S82" s="795"/>
      <c r="T82" s="64"/>
      <c r="U82" s="64"/>
      <c r="V82" s="63"/>
      <c r="W82" s="64"/>
      <c r="X82" s="64"/>
      <c r="Y82" s="90"/>
    </row>
    <row r="83" spans="1:25" s="53" customFormat="1" ht="18.75" thickBot="1" x14ac:dyDescent="0.25">
      <c r="A83" s="40"/>
      <c r="B83" s="350" t="s">
        <v>186</v>
      </c>
      <c r="C83" s="335"/>
      <c r="D83" s="336"/>
      <c r="E83" s="336"/>
      <c r="F83" s="336"/>
      <c r="G83" s="582">
        <f>SUM(G84:G85)</f>
        <v>15547051.539999999</v>
      </c>
      <c r="H83" s="43">
        <f t="shared" si="7"/>
        <v>1.5094361150221943E-2</v>
      </c>
      <c r="I83" s="91"/>
      <c r="J83" s="92"/>
      <c r="K83" s="44"/>
      <c r="L83" s="44"/>
      <c r="M83" s="130"/>
      <c r="N83" s="131"/>
      <c r="O83" s="42"/>
      <c r="P83" s="645"/>
      <c r="Q83" s="166"/>
      <c r="R83" s="166"/>
      <c r="S83" s="580"/>
      <c r="T83" s="52"/>
      <c r="U83" s="52"/>
      <c r="V83" s="52"/>
      <c r="W83" s="52"/>
      <c r="X83" s="52"/>
      <c r="Y83" s="52"/>
    </row>
    <row r="84" spans="1:25" s="53" customFormat="1" ht="16.5" customHeight="1" x14ac:dyDescent="0.25">
      <c r="A84" s="212">
        <v>41</v>
      </c>
      <c r="B84" s="97" t="s">
        <v>161</v>
      </c>
      <c r="C84" s="98"/>
      <c r="D84" s="134" t="s">
        <v>162</v>
      </c>
      <c r="E84" s="101" t="s">
        <v>89</v>
      </c>
      <c r="F84" s="101" t="s">
        <v>89</v>
      </c>
      <c r="G84" s="588">
        <f>'[1]FFIN2 Março 2018'!$G$65</f>
        <v>5900000</v>
      </c>
      <c r="H84" s="213">
        <f t="shared" si="7"/>
        <v>5.7282070852586542E-3</v>
      </c>
      <c r="I84" s="416">
        <f>'[1]FFIN2 Março 2018'!$I$65</f>
        <v>0</v>
      </c>
      <c r="J84" s="214"/>
      <c r="K84" s="104"/>
      <c r="L84" s="105" t="s">
        <v>71</v>
      </c>
      <c r="M84" s="427">
        <f>'[1]FFIN2 Março 2018'!$M$65</f>
        <v>235426807.41</v>
      </c>
      <c r="N84" s="135">
        <f>G84/M84</f>
        <v>2.5060867387650738E-2</v>
      </c>
      <c r="O84" s="799" t="s">
        <v>121</v>
      </c>
      <c r="P84" s="796">
        <f>SUM(G84:G85)/G90</f>
        <v>1.5094361150221943E-2</v>
      </c>
      <c r="Q84" s="790">
        <v>0.05</v>
      </c>
      <c r="R84" s="790">
        <v>0.03</v>
      </c>
      <c r="S84" s="793" t="s">
        <v>313</v>
      </c>
      <c r="T84" s="52"/>
      <c r="U84" s="52"/>
      <c r="V84" s="52"/>
      <c r="W84" s="52"/>
      <c r="X84" s="52"/>
      <c r="Y84" s="52"/>
    </row>
    <row r="85" spans="1:25" s="1" customFormat="1" ht="18.75" thickBot="1" x14ac:dyDescent="0.3">
      <c r="A85" s="8">
        <v>42</v>
      </c>
      <c r="B85" s="167" t="s">
        <v>122</v>
      </c>
      <c r="C85" s="108"/>
      <c r="D85" s="87" t="s">
        <v>123</v>
      </c>
      <c r="E85" s="168" t="s">
        <v>89</v>
      </c>
      <c r="F85" s="168" t="s">
        <v>89</v>
      </c>
      <c r="G85" s="385">
        <f>'[1]FFIN2 Março 2018'!$G$66</f>
        <v>9647051.5399999991</v>
      </c>
      <c r="H85" s="215">
        <f t="shared" si="7"/>
        <v>9.3661540649632898E-3</v>
      </c>
      <c r="I85" s="460">
        <f>'[1]FFIN2 Março 2018'!$I$66</f>
        <v>4.5100000000000001E-2</v>
      </c>
      <c r="J85" s="138"/>
      <c r="K85" s="208"/>
      <c r="L85" s="159" t="s">
        <v>71</v>
      </c>
      <c r="M85" s="446">
        <f>'[1]FFIN2 Março 2018'!$M$66</f>
        <v>138067375.53</v>
      </c>
      <c r="N85" s="624">
        <f>G85/M85</f>
        <v>6.9872057051622874E-2</v>
      </c>
      <c r="O85" s="801"/>
      <c r="P85" s="798"/>
      <c r="Q85" s="792"/>
      <c r="R85" s="792"/>
      <c r="S85" s="795"/>
      <c r="T85" s="64"/>
      <c r="U85" s="64"/>
      <c r="V85" s="63"/>
      <c r="W85" s="64"/>
      <c r="X85" s="63"/>
      <c r="Y85" s="65"/>
    </row>
    <row r="86" spans="1:25" s="1" customFormat="1" ht="12" customHeight="1" thickBot="1" x14ac:dyDescent="0.3">
      <c r="A86" s="185"/>
      <c r="B86" s="186" t="s">
        <v>131</v>
      </c>
      <c r="C86" s="41"/>
      <c r="D86" s="42"/>
      <c r="E86" s="232"/>
      <c r="F86" s="232"/>
      <c r="G86" s="592">
        <f>SUM(G87:G89)</f>
        <v>13431.76</v>
      </c>
      <c r="H86" s="233">
        <f t="shared" si="7"/>
        <v>1.3040661491439624E-5</v>
      </c>
      <c r="I86" s="234"/>
      <c r="J86" s="235"/>
      <c r="K86" s="235"/>
      <c r="L86" s="235"/>
      <c r="M86" s="236"/>
      <c r="N86" s="131"/>
      <c r="O86" s="237"/>
      <c r="P86" s="238">
        <f>SUM((G59+G62+G64+G74+G83)/G90)*100</f>
        <v>16.558487587009541</v>
      </c>
      <c r="Q86" s="239"/>
      <c r="R86" s="240">
        <f>SUM(P59+P86+P87+P88)/100</f>
        <v>0.98509041341951165</v>
      </c>
      <c r="S86" s="51"/>
      <c r="T86" s="216"/>
      <c r="U86" s="216"/>
      <c r="V86" s="216"/>
      <c r="W86" s="216"/>
      <c r="X86" s="216"/>
    </row>
    <row r="87" spans="1:25" s="1" customFormat="1" ht="18" x14ac:dyDescent="0.25">
      <c r="A87" s="185">
        <v>46</v>
      </c>
      <c r="B87" s="241" t="s">
        <v>132</v>
      </c>
      <c r="C87" s="242"/>
      <c r="D87" s="243"/>
      <c r="E87" s="244"/>
      <c r="F87" s="245"/>
      <c r="G87" s="593">
        <f>'[1]FFIN2 Março 2018'!$G$68</f>
        <v>5801.1</v>
      </c>
      <c r="H87" s="199">
        <f t="shared" si="7"/>
        <v>5.6321868003888106E-6</v>
      </c>
      <c r="I87" s="142">
        <f>'[1]FFIN2 Março 2018'!$I$68</f>
        <v>0</v>
      </c>
      <c r="J87" s="246"/>
      <c r="K87" s="247"/>
      <c r="L87" s="248"/>
      <c r="M87" s="249"/>
      <c r="N87" s="250"/>
      <c r="O87" s="803" t="s">
        <v>133</v>
      </c>
      <c r="P87" s="811">
        <f>SUM(G87:G89)/G90</f>
        <v>1.3040661491439624E-5</v>
      </c>
      <c r="Q87" s="574"/>
      <c r="R87" s="251"/>
      <c r="S87" s="245"/>
      <c r="T87" s="216"/>
      <c r="U87" s="216"/>
      <c r="V87" s="216"/>
      <c r="W87" s="216"/>
      <c r="X87" s="216"/>
    </row>
    <row r="88" spans="1:25" s="216" customFormat="1" ht="18.75" thickBot="1" x14ac:dyDescent="0.3">
      <c r="A88" s="8">
        <v>47</v>
      </c>
      <c r="B88" s="252" t="s">
        <v>134</v>
      </c>
      <c r="C88" s="253"/>
      <c r="D88" s="254"/>
      <c r="E88" s="255"/>
      <c r="F88" s="253"/>
      <c r="G88" s="384">
        <f>'[1]FFIN2 Março 2018'!$G$69</f>
        <v>261.33</v>
      </c>
      <c r="H88" s="256">
        <v>9.5999999999999992E-3</v>
      </c>
      <c r="I88" s="71">
        <f>'[1]FFIN2 Março 2018'!$I$69</f>
        <v>0</v>
      </c>
      <c r="J88" s="257"/>
      <c r="K88" s="258"/>
      <c r="L88" s="259"/>
      <c r="M88" s="260"/>
      <c r="N88" s="261"/>
      <c r="O88" s="804"/>
      <c r="P88" s="812"/>
      <c r="Q88" s="253"/>
      <c r="R88" s="262"/>
      <c r="S88" s="255"/>
      <c r="T88" s="263"/>
      <c r="V88" s="264"/>
      <c r="Y88" s="1"/>
    </row>
    <row r="89" spans="1:25" s="216" customFormat="1" ht="18" x14ac:dyDescent="0.25">
      <c r="A89" s="8"/>
      <c r="B89" s="401" t="s">
        <v>213</v>
      </c>
      <c r="C89" s="242"/>
      <c r="D89" s="254"/>
      <c r="E89" s="402"/>
      <c r="F89" s="255"/>
      <c r="G89" s="384">
        <f>'[2]FFPREV Março 2018'!$G$46</f>
        <v>7369.33</v>
      </c>
      <c r="H89" s="70">
        <f>G89/$G$84</f>
        <v>1.2490389830508474E-3</v>
      </c>
      <c r="I89" s="71">
        <f>'[2]FFPREV Março 2018'!$I$46</f>
        <v>0</v>
      </c>
      <c r="J89" s="394"/>
      <c r="K89" s="395"/>
      <c r="L89" s="396"/>
      <c r="M89" s="397"/>
      <c r="N89" s="398"/>
      <c r="O89" s="576"/>
      <c r="P89" s="812"/>
      <c r="Q89" s="575"/>
      <c r="R89" s="399"/>
      <c r="S89" s="400"/>
      <c r="T89" s="263"/>
      <c r="V89" s="264"/>
      <c r="Y89" s="1"/>
    </row>
    <row r="90" spans="1:25" s="216" customFormat="1" ht="18.75" thickBot="1" x14ac:dyDescent="0.3">
      <c r="A90" s="8"/>
      <c r="B90" s="265" t="s">
        <v>135</v>
      </c>
      <c r="C90" s="266"/>
      <c r="D90" s="267"/>
      <c r="E90" s="268"/>
      <c r="F90" s="268"/>
      <c r="G90" s="594">
        <f>G4+G15+G29+G30+G31+G32+G33+G49+G50+G51+G52+G53+G57+G58+G59+G62+G64+G73+G74+G79+G83+G86</f>
        <v>1029990695.5500001</v>
      </c>
      <c r="H90" s="269">
        <f>G90/$G$90</f>
        <v>1</v>
      </c>
      <c r="I90" s="270"/>
      <c r="J90" s="271"/>
      <c r="K90" s="272"/>
      <c r="L90" s="273"/>
      <c r="M90" s="274"/>
      <c r="N90" s="275"/>
      <c r="O90" s="577"/>
      <c r="P90" s="579">
        <f>SUM(P5+P16+P34+P54+P55+P60+P63+P65+P75+P80+P84+P87+P88)</f>
        <v>0.99999999999999967</v>
      </c>
      <c r="Q90" s="578"/>
      <c r="R90" s="276"/>
      <c r="S90" s="277"/>
      <c r="T90" s="263"/>
      <c r="V90" s="264"/>
      <c r="Y90" s="1"/>
    </row>
    <row r="91" spans="1:25" s="216" customFormat="1" x14ac:dyDescent="0.25">
      <c r="A91" s="1"/>
      <c r="B91" s="278" t="str">
        <f>'[1]FFIN2 Março 2018'!$B$71</f>
        <v>Meta Atuarial(INPC 0,07 + 0,486755)</v>
      </c>
      <c r="C91" s="278"/>
      <c r="D91" s="279"/>
      <c r="E91" s="279">
        <f>'[1]FFIN2 Março 2018'!$E$71</f>
        <v>5.5999999999999999E-3</v>
      </c>
      <c r="F91" s="279"/>
      <c r="G91" s="278" t="s">
        <v>136</v>
      </c>
      <c r="H91" s="280">
        <f>'[1]FFIN2 Março 2018'!$H$71</f>
        <v>5.1999999999999998E-3</v>
      </c>
      <c r="I91" s="281"/>
      <c r="J91" s="278" t="s">
        <v>137</v>
      </c>
      <c r="K91" s="280">
        <f>'[1]FFIN2 Março 2018'!$K$71</f>
        <v>1.15E-2</v>
      </c>
      <c r="L91" s="281"/>
      <c r="M91" s="282" t="s">
        <v>138</v>
      </c>
      <c r="N91" s="280">
        <f>'[1]FFIN2 Março 2018'!$N$71</f>
        <v>1.1023E-2</v>
      </c>
      <c r="O91" s="1"/>
      <c r="P91" s="280" t="s">
        <v>317</v>
      </c>
      <c r="Q91" s="1"/>
      <c r="R91" s="280"/>
      <c r="S91" s="283">
        <v>4.8000000000000001E-2</v>
      </c>
      <c r="Y91" s="1"/>
    </row>
    <row r="92" spans="1:25" s="216" customFormat="1" x14ac:dyDescent="0.25">
      <c r="A92" s="1"/>
      <c r="B92" s="278" t="s">
        <v>139</v>
      </c>
      <c r="C92" s="284"/>
      <c r="D92" s="278"/>
      <c r="E92" s="285">
        <v>1.12E-2</v>
      </c>
      <c r="F92" s="280"/>
      <c r="G92" s="278" t="s">
        <v>140</v>
      </c>
      <c r="H92" s="280">
        <f>'[1]FFIN2 Março 2018'!$H$72</f>
        <v>4.1999999999999997E-3</v>
      </c>
      <c r="I92" s="278"/>
      <c r="J92" s="278" t="s">
        <v>141</v>
      </c>
      <c r="K92" s="280">
        <f>'[1]FFIN2 Março 2018'!$K$72</f>
        <v>5.4860000000000004E-3</v>
      </c>
      <c r="L92" s="280"/>
      <c r="M92" s="282" t="s">
        <v>142</v>
      </c>
      <c r="N92" s="280">
        <f>'[1]FFIN2 Março 2018'!$N$72</f>
        <v>5.4099999999999999E-3</v>
      </c>
      <c r="O92" s="1"/>
      <c r="P92" s="286" t="s">
        <v>143</v>
      </c>
      <c r="Q92" s="1"/>
      <c r="R92" s="1"/>
      <c r="S92" s="283">
        <v>1.9099999999999999E-2</v>
      </c>
      <c r="Y92" s="1"/>
    </row>
    <row r="93" spans="1:25" s="216" customFormat="1" x14ac:dyDescent="0.25">
      <c r="A93" s="1"/>
      <c r="B93" s="278" t="s">
        <v>144</v>
      </c>
      <c r="C93" s="1"/>
      <c r="D93" s="280"/>
      <c r="E93" s="280">
        <f>'[1]FFIN2 Março 2018'!$E$73</f>
        <v>1.8E-3</v>
      </c>
      <c r="F93" s="280"/>
      <c r="G93" s="278" t="s">
        <v>145</v>
      </c>
      <c r="H93" s="280">
        <f>'[1]FFIN2 Março 2018'!$H$73</f>
        <v>4.3E-3</v>
      </c>
      <c r="I93" s="278"/>
      <c r="J93" s="278" t="s">
        <v>146</v>
      </c>
      <c r="K93" s="280">
        <f>'[1]FFIN2 Março 2018'!$K$73</f>
        <v>7.1640000000000002E-3</v>
      </c>
      <c r="L93" s="280"/>
      <c r="M93" s="282" t="s">
        <v>147</v>
      </c>
      <c r="N93" s="280">
        <f>'[1]FFIN2 Março 2018'!$N$73</f>
        <v>1.315E-2</v>
      </c>
      <c r="O93" s="280"/>
      <c r="P93" s="286" t="s">
        <v>318</v>
      </c>
      <c r="Q93" s="1"/>
      <c r="R93" s="1"/>
      <c r="S93" s="283">
        <v>0.14219999999999999</v>
      </c>
      <c r="T93" s="287"/>
      <c r="Y93" s="1"/>
    </row>
    <row r="94" spans="1:25" s="216" customFormat="1" x14ac:dyDescent="0.25">
      <c r="A94" s="1"/>
      <c r="B94" s="278" t="s">
        <v>118</v>
      </c>
      <c r="C94" s="280"/>
      <c r="D94" s="280"/>
      <c r="E94" s="288">
        <f>'[1]FFIN2 Março 2018'!$E$74</f>
        <v>4.5999999999999999E-3</v>
      </c>
      <c r="F94" s="288"/>
      <c r="G94" s="278" t="s">
        <v>148</v>
      </c>
      <c r="H94" s="280">
        <f>'[1]FFIN2 Março 2018'!$H$74</f>
        <v>-3.7000000000000002E-3</v>
      </c>
      <c r="I94" s="278"/>
      <c r="J94" s="278" t="s">
        <v>149</v>
      </c>
      <c r="K94" s="280">
        <f>'[1]FFIN2 Março 2018'!$K$74</f>
        <v>5.3920000000000001E-3</v>
      </c>
      <c r="L94" s="280"/>
      <c r="M94" s="282" t="s">
        <v>150</v>
      </c>
      <c r="N94" s="280">
        <f>'[1]FFIN2 Março 2018'!$N$74</f>
        <v>5.2880000000000002E-3</v>
      </c>
      <c r="O94" s="280"/>
      <c r="P94" s="286" t="s">
        <v>151</v>
      </c>
      <c r="Q94" s="1"/>
      <c r="R94" s="1"/>
      <c r="S94" s="283">
        <v>7.5600000000000001E-2</v>
      </c>
      <c r="Y94" s="1"/>
    </row>
    <row r="95" spans="1:25" s="216" customFormat="1" x14ac:dyDescent="0.25">
      <c r="A95" s="1"/>
      <c r="B95" s="278" t="s">
        <v>80</v>
      </c>
      <c r="C95" s="1"/>
      <c r="D95" s="280"/>
      <c r="E95" s="288">
        <f>'[1]FFIN2 Março 2018'!$E$75</f>
        <v>3.2000000000000002E-3</v>
      </c>
      <c r="F95" s="288"/>
      <c r="G95" s="278" t="s">
        <v>112</v>
      </c>
      <c r="H95" s="280">
        <f>'[1]FFIN2 Março 2018'!$H$75</f>
        <v>-6.1000000000000004E-3</v>
      </c>
      <c r="I95" s="1"/>
      <c r="J95" s="278" t="s">
        <v>152</v>
      </c>
      <c r="K95" s="280">
        <f>'[1]FFIN2 Março 2018'!$K$75</f>
        <v>5.5659999999999998E-3</v>
      </c>
      <c r="L95" s="1"/>
      <c r="M95" s="282" t="s">
        <v>153</v>
      </c>
      <c r="N95" s="280">
        <f>'[1]FFIN2 Março 2018'!$N$75</f>
        <v>4.5820000000000001E-3</v>
      </c>
      <c r="O95" s="280"/>
      <c r="P95" s="286"/>
      <c r="Q95" s="1"/>
      <c r="R95" s="1"/>
      <c r="S95" s="289">
        <f>'[2]FFPREV Março 2018'!$G$47</f>
        <v>247975159.66</v>
      </c>
      <c r="T95" s="290"/>
      <c r="Y95" s="1"/>
    </row>
    <row r="96" spans="1:25" s="216" customFormat="1" x14ac:dyDescent="0.25">
      <c r="A96" s="1"/>
      <c r="B96" s="1"/>
      <c r="C96" s="1"/>
      <c r="D96" s="1"/>
      <c r="E96" s="1"/>
      <c r="F96" s="1"/>
      <c r="G96" s="278"/>
      <c r="H96" s="280" t="s">
        <v>154</v>
      </c>
      <c r="I96" s="1"/>
      <c r="J96" s="278"/>
      <c r="K96" s="280"/>
      <c r="L96" s="1"/>
      <c r="M96" s="282"/>
      <c r="N96" s="291"/>
      <c r="O96" s="280"/>
      <c r="P96" s="1"/>
      <c r="Q96" s="1"/>
      <c r="R96" s="1"/>
      <c r="S96" s="292">
        <f>'[1]FFIN2 Março 2018'!$G$70</f>
        <v>782015535.8900001</v>
      </c>
      <c r="Y96" s="1"/>
    </row>
    <row r="97" spans="1:25" s="1" customFormat="1" x14ac:dyDescent="0.25">
      <c r="D97" t="s">
        <v>155</v>
      </c>
      <c r="G97" s="293">
        <f>S97</f>
        <v>1029990695.5500001</v>
      </c>
      <c r="H97" s="280"/>
      <c r="J97" s="278"/>
      <c r="K97" s="280"/>
      <c r="M97" s="294"/>
      <c r="N97" s="291"/>
      <c r="O97" s="280"/>
      <c r="S97" s="295">
        <f>S95+S96</f>
        <v>1029990695.5500001</v>
      </c>
      <c r="T97" s="216"/>
      <c r="U97" s="216"/>
      <c r="V97" s="216"/>
      <c r="W97" s="216"/>
      <c r="X97" s="216"/>
    </row>
    <row r="98" spans="1:25" s="7" customFormat="1" x14ac:dyDescent="0.25">
      <c r="A98"/>
      <c r="B98"/>
      <c r="C98"/>
      <c r="D98"/>
      <c r="E98"/>
      <c r="F98"/>
      <c r="G98" s="296"/>
      <c r="H98" s="280"/>
      <c r="I98" s="1"/>
      <c r="J98" s="278"/>
      <c r="K98" s="280"/>
      <c r="L98" s="1"/>
      <c r="M98" s="294"/>
      <c r="N98" s="300"/>
      <c r="O98"/>
      <c r="P98"/>
      <c r="Q98"/>
      <c r="R98"/>
      <c r="S98" s="295"/>
      <c r="Y98"/>
    </row>
    <row r="99" spans="1:25" s="7" customFormat="1" x14ac:dyDescent="0.25">
      <c r="A99"/>
      <c r="B99" s="278"/>
      <c r="C99" s="278"/>
      <c r="D99" s="278"/>
      <c r="E99" s="279"/>
      <c r="F99" s="279"/>
      <c r="G99" s="296"/>
      <c r="H99" s="291"/>
      <c r="I99" s="1"/>
      <c r="J99" s="1"/>
      <c r="K99" s="1"/>
      <c r="L99" s="1"/>
      <c r="M99" s="294"/>
      <c r="N99" s="300"/>
      <c r="O99"/>
      <c r="P99"/>
      <c r="Q99"/>
      <c r="R99"/>
      <c r="S99"/>
      <c r="Y99"/>
    </row>
    <row r="100" spans="1:25" s="7" customFormat="1" x14ac:dyDescent="0.25">
      <c r="A100"/>
      <c r="B100" s="278"/>
      <c r="C100" s="278"/>
      <c r="D100" s="278"/>
      <c r="E100" s="280"/>
      <c r="F100" s="280"/>
      <c r="G100" s="301"/>
      <c r="H100" s="291"/>
      <c r="I100" s="1"/>
      <c r="J100" s="1"/>
      <c r="K100" s="1"/>
      <c r="L100" s="1"/>
      <c r="M100" s="294"/>
      <c r="N100" s="300"/>
      <c r="O100"/>
      <c r="P100"/>
      <c r="Q100"/>
      <c r="R100"/>
      <c r="S100"/>
      <c r="Y100"/>
    </row>
    <row r="101" spans="1:25" s="7" customFormat="1" x14ac:dyDescent="0.25">
      <c r="A101"/>
      <c r="B101" s="278"/>
      <c r="C101" s="1"/>
      <c r="D101" s="280"/>
      <c r="E101" s="280"/>
      <c r="F101" s="280"/>
      <c r="G101" s="296"/>
      <c r="H101" s="291"/>
      <c r="I101" s="1"/>
      <c r="J101" s="1"/>
      <c r="K101" s="1"/>
      <c r="L101" s="1"/>
      <c r="M101" s="294"/>
      <c r="N101" s="300"/>
      <c r="O101"/>
      <c r="P101"/>
      <c r="Q101"/>
      <c r="R101"/>
      <c r="S101"/>
      <c r="Y101"/>
    </row>
    <row r="102" spans="1:25" s="7" customFormat="1" x14ac:dyDescent="0.25">
      <c r="A102"/>
      <c r="B102" s="278"/>
      <c r="C102" s="280"/>
      <c r="D102" s="280"/>
      <c r="E102" s="286"/>
      <c r="F102" s="286"/>
      <c r="G102" s="296"/>
      <c r="H102" s="291"/>
      <c r="I102" s="1"/>
      <c r="J102" s="1"/>
      <c r="K102" s="1"/>
      <c r="L102" s="1"/>
      <c r="M102" s="294" t="s">
        <v>156</v>
      </c>
      <c r="N102" s="300"/>
      <c r="O102"/>
      <c r="P102"/>
      <c r="Q102"/>
      <c r="R102"/>
      <c r="S102"/>
      <c r="Y102"/>
    </row>
    <row r="103" spans="1:25" s="7" customFormat="1" x14ac:dyDescent="0.25">
      <c r="A103"/>
      <c r="B103" s="278" t="s">
        <v>60</v>
      </c>
      <c r="C103" s="1"/>
      <c r="D103" s="280" t="s">
        <v>157</v>
      </c>
      <c r="E103" s="302">
        <v>1.24E-2</v>
      </c>
      <c r="F103" s="1"/>
      <c r="G103" s="296">
        <f>G4+G15+G29+G30+G31+G32+G33+G49+G50+G51+G52+G53+G57+G58</f>
        <v>844082944.31000006</v>
      </c>
      <c r="H103" s="291">
        <f>G103/G106</f>
        <v>0.8195054071428014</v>
      </c>
      <c r="I103" s="1"/>
      <c r="J103" s="1" t="s">
        <v>60</v>
      </c>
      <c r="K103" s="1"/>
      <c r="L103" s="1"/>
      <c r="M103" s="629">
        <f>G117</f>
        <v>844082944.31000006</v>
      </c>
      <c r="N103" s="300">
        <f>M103/M106</f>
        <v>0.8195054071428014</v>
      </c>
      <c r="O103"/>
      <c r="P103"/>
      <c r="Q103"/>
      <c r="R103"/>
      <c r="S103"/>
      <c r="Y103"/>
    </row>
    <row r="104" spans="1:25" s="7" customFormat="1" x14ac:dyDescent="0.25">
      <c r="A104"/>
      <c r="B104" t="s">
        <v>96</v>
      </c>
      <c r="C104"/>
      <c r="D104" s="280" t="s">
        <v>157</v>
      </c>
      <c r="E104" s="302">
        <v>5.7999999999999996E-3</v>
      </c>
      <c r="F104"/>
      <c r="G104" s="296">
        <f>G59+G62+G64+G73+G74+G79+G83</f>
        <v>185894319.47999999</v>
      </c>
      <c r="H104" s="291">
        <f>G104/G106</f>
        <v>0.18048155219570708</v>
      </c>
      <c r="I104" s="1"/>
      <c r="J104" s="1" t="s">
        <v>96</v>
      </c>
      <c r="K104" s="1"/>
      <c r="L104" s="1"/>
      <c r="M104" s="629">
        <f>G132</f>
        <v>185894319.47999999</v>
      </c>
      <c r="N104" s="300">
        <f>M104/M106</f>
        <v>0.18048155219570708</v>
      </c>
      <c r="O104"/>
      <c r="P104"/>
      <c r="Q104"/>
      <c r="R104"/>
      <c r="S104"/>
      <c r="Y104"/>
    </row>
    <row r="105" spans="1:25" s="7" customFormat="1" x14ac:dyDescent="0.25">
      <c r="A105"/>
      <c r="B105" t="s">
        <v>158</v>
      </c>
      <c r="C105"/>
      <c r="D105"/>
      <c r="E105" s="304"/>
      <c r="F105"/>
      <c r="G105" s="296">
        <f>G86</f>
        <v>13431.76</v>
      </c>
      <c r="H105" s="291">
        <f>G105/G106</f>
        <v>1.3040661491439624E-5</v>
      </c>
      <c r="I105" s="1"/>
      <c r="J105" s="1" t="s">
        <v>159</v>
      </c>
      <c r="K105" s="1"/>
      <c r="L105" s="1"/>
      <c r="M105" s="629">
        <f>G140</f>
        <v>13431.76</v>
      </c>
      <c r="N105" s="300">
        <f>M105/M106</f>
        <v>1.3040661491439624E-5</v>
      </c>
      <c r="O105"/>
      <c r="P105"/>
      <c r="Q105"/>
      <c r="R105"/>
      <c r="S105"/>
      <c r="Y105"/>
    </row>
    <row r="106" spans="1:25" s="7" customFormat="1" x14ac:dyDescent="0.25">
      <c r="A106"/>
      <c r="B106"/>
      <c r="C106"/>
      <c r="D106"/>
      <c r="E106" s="302">
        <v>1.12E-2</v>
      </c>
      <c r="F106"/>
      <c r="G106" s="296">
        <f>G103+G104+G105</f>
        <v>1029990695.5500001</v>
      </c>
      <c r="H106" s="291">
        <f>SUM(H103:H105)</f>
        <v>0.99999999999999989</v>
      </c>
      <c r="I106" s="1"/>
      <c r="J106" s="216" t="s">
        <v>160</v>
      </c>
      <c r="K106" s="216"/>
      <c r="L106" s="216"/>
      <c r="M106" s="629">
        <f>M103+M104+M105</f>
        <v>1029990695.5500001</v>
      </c>
      <c r="N106" s="300">
        <f>N103+N104+N105</f>
        <v>0.99999999999999989</v>
      </c>
      <c r="O106"/>
      <c r="P106"/>
      <c r="Q106"/>
      <c r="R106"/>
      <c r="S106"/>
      <c r="Y106"/>
    </row>
    <row r="107" spans="1:25" s="7" customFormat="1" x14ac:dyDescent="0.25">
      <c r="A107"/>
      <c r="B107"/>
      <c r="C107"/>
      <c r="D107"/>
      <c r="E107" s="305"/>
      <c r="F107"/>
      <c r="G107" s="1"/>
      <c r="H107" s="291"/>
      <c r="I107" s="1"/>
      <c r="J107" s="1"/>
      <c r="K107" s="1"/>
      <c r="L107" s="1"/>
      <c r="M107" s="294"/>
      <c r="N107" s="300"/>
      <c r="O107"/>
      <c r="P107"/>
      <c r="Q107"/>
      <c r="R107"/>
      <c r="S107"/>
      <c r="Y107"/>
    </row>
    <row r="108" spans="1:25" s="7" customFormat="1" x14ac:dyDescent="0.25">
      <c r="A108"/>
      <c r="B108"/>
      <c r="C108"/>
      <c r="D108"/>
      <c r="E108"/>
      <c r="F108"/>
      <c r="G108" s="1"/>
      <c r="H108" s="291"/>
      <c r="I108" s="1"/>
      <c r="J108" s="1"/>
      <c r="K108" s="1"/>
      <c r="L108" s="1"/>
      <c r="M108" s="294"/>
      <c r="N108" s="300"/>
      <c r="O108"/>
      <c r="P108"/>
      <c r="Q108"/>
      <c r="R108"/>
      <c r="S108"/>
      <c r="Y108"/>
    </row>
    <row r="109" spans="1:25" s="7" customFormat="1" x14ac:dyDescent="0.25">
      <c r="A109"/>
      <c r="B109"/>
      <c r="C109"/>
      <c r="D109"/>
      <c r="E109"/>
      <c r="F109"/>
      <c r="G109" s="1"/>
      <c r="H109" s="291"/>
      <c r="I109" s="1"/>
      <c r="J109" s="1"/>
      <c r="K109" s="1"/>
      <c r="L109" s="1"/>
      <c r="M109" s="294"/>
      <c r="N109" s="300"/>
      <c r="O109"/>
      <c r="P109"/>
      <c r="Q109"/>
      <c r="R109"/>
      <c r="S109"/>
      <c r="Y109"/>
    </row>
    <row r="110" spans="1:25" x14ac:dyDescent="0.25">
      <c r="A110" s="545"/>
      <c r="B110" s="545"/>
      <c r="C110" s="545"/>
      <c r="D110" s="546"/>
      <c r="E110" s="545"/>
      <c r="F110" s="545"/>
      <c r="G110" s="547"/>
      <c r="H110" s="548"/>
      <c r="I110" s="545"/>
      <c r="J110" s="286"/>
      <c r="K110" s="548"/>
      <c r="L110" s="545"/>
      <c r="M110" s="545"/>
      <c r="N110" s="545"/>
      <c r="O110" s="548"/>
      <c r="P110" s="549"/>
      <c r="Q110" s="545"/>
      <c r="R110" s="545"/>
      <c r="S110" s="550"/>
      <c r="T110" s="550"/>
    </row>
    <row r="111" spans="1:25" x14ac:dyDescent="0.25">
      <c r="A111" s="545"/>
      <c r="B111" s="545"/>
      <c r="C111" s="545"/>
      <c r="D111" s="286" t="s">
        <v>167</v>
      </c>
      <c r="E111" s="551"/>
      <c r="F111" s="545"/>
      <c r="G111" s="598">
        <f>G117</f>
        <v>844082944.31000006</v>
      </c>
      <c r="H111" s="596">
        <f>G111/G114</f>
        <v>0.8195054071428014</v>
      </c>
      <c r="I111" s="545"/>
      <c r="J111" s="286"/>
      <c r="K111" s="548"/>
      <c r="L111" s="545"/>
      <c r="M111" s="545"/>
      <c r="N111" s="545"/>
      <c r="O111" s="548"/>
      <c r="P111" s="549"/>
      <c r="Q111" s="545"/>
      <c r="R111" s="545"/>
      <c r="S111" s="552"/>
      <c r="T111" s="552"/>
    </row>
    <row r="112" spans="1:25" x14ac:dyDescent="0.25">
      <c r="A112" s="545" t="s">
        <v>246</v>
      </c>
      <c r="B112" s="545" t="s">
        <v>247</v>
      </c>
      <c r="C112" s="545"/>
      <c r="D112" s="286" t="s">
        <v>248</v>
      </c>
      <c r="E112" s="551"/>
      <c r="F112" s="545"/>
      <c r="G112" s="598">
        <f>G132</f>
        <v>185894319.47999999</v>
      </c>
      <c r="H112" s="596">
        <f>G112/G114</f>
        <v>0.18048155219570708</v>
      </c>
      <c r="I112" s="545"/>
      <c r="J112" s="286"/>
      <c r="K112" s="548"/>
      <c r="L112" s="545"/>
      <c r="M112" s="545"/>
      <c r="N112" s="545"/>
      <c r="O112" s="548"/>
      <c r="P112" s="549"/>
      <c r="Q112" s="545"/>
      <c r="R112" s="545"/>
      <c r="S112" s="552"/>
      <c r="T112" s="552"/>
    </row>
    <row r="113" spans="1:20" x14ac:dyDescent="0.25">
      <c r="A113" s="545">
        <v>2011</v>
      </c>
      <c r="B113" s="553" t="s">
        <v>249</v>
      </c>
      <c r="C113" s="545"/>
      <c r="D113" s="286"/>
      <c r="E113" s="551"/>
      <c r="F113" s="545"/>
      <c r="G113" s="598">
        <f>G140</f>
        <v>13431.76</v>
      </c>
      <c r="H113" s="596">
        <f>G113/G114</f>
        <v>1.3040661491439624E-5</v>
      </c>
      <c r="I113" s="545"/>
      <c r="J113" s="286"/>
      <c r="K113" s="548"/>
      <c r="L113" s="545"/>
      <c r="M113" s="545"/>
      <c r="N113" s="545"/>
      <c r="O113" s="548"/>
      <c r="P113" s="549"/>
      <c r="Q113" s="545"/>
      <c r="R113" s="545"/>
      <c r="S113" s="552"/>
      <c r="T113" s="552"/>
    </row>
    <row r="114" spans="1:20" x14ac:dyDescent="0.25">
      <c r="A114" s="545">
        <v>2012</v>
      </c>
      <c r="B114" s="553" t="s">
        <v>250</v>
      </c>
      <c r="C114" s="545">
        <v>22.41</v>
      </c>
      <c r="D114" s="286"/>
      <c r="E114" s="551"/>
      <c r="F114" s="545"/>
      <c r="G114" s="600">
        <f>G111+G112+G113</f>
        <v>1029990695.5500001</v>
      </c>
      <c r="H114" s="596">
        <f>SUM(H111:H113)</f>
        <v>0.99999999999999989</v>
      </c>
      <c r="I114" s="545"/>
      <c r="J114" s="286"/>
      <c r="K114" s="548"/>
      <c r="L114" s="545"/>
      <c r="M114" s="545"/>
      <c r="N114" s="545"/>
      <c r="O114" s="548"/>
      <c r="P114" s="549"/>
      <c r="Q114" s="545"/>
      <c r="R114" s="545"/>
      <c r="S114" s="552"/>
      <c r="T114" s="552"/>
    </row>
    <row r="115" spans="1:20" x14ac:dyDescent="0.25">
      <c r="A115" s="545">
        <v>2013</v>
      </c>
      <c r="B115" s="545" t="s">
        <v>251</v>
      </c>
      <c r="C115" s="545"/>
      <c r="D115" s="546"/>
      <c r="E115" s="545"/>
      <c r="F115" s="545"/>
      <c r="G115" s="293"/>
      <c r="H115" s="596"/>
      <c r="I115" s="545"/>
      <c r="J115" s="286"/>
      <c r="K115" s="548"/>
      <c r="L115" s="545"/>
      <c r="M115" s="545"/>
      <c r="N115" s="545"/>
      <c r="O115" s="548"/>
      <c r="P115" s="549"/>
      <c r="Q115" s="545"/>
      <c r="R115" s="545"/>
      <c r="S115" s="552"/>
      <c r="T115" s="552"/>
    </row>
    <row r="116" spans="1:20" ht="18.75" x14ac:dyDescent="0.3">
      <c r="A116" s="545">
        <v>2014</v>
      </c>
      <c r="B116" s="545" t="s">
        <v>252</v>
      </c>
      <c r="C116" s="546"/>
      <c r="D116" s="566" t="s">
        <v>324</v>
      </c>
      <c r="E116" s="566"/>
      <c r="F116" s="566"/>
      <c r="G116" s="630">
        <f>G117+G132+G140</f>
        <v>1029990695.5500001</v>
      </c>
      <c r="H116" s="596">
        <f t="shared" ref="H116:H140" si="8">G116/$G$114</f>
        <v>1</v>
      </c>
      <c r="I116" s="545"/>
      <c r="J116" s="545"/>
      <c r="M116" s="545"/>
      <c r="N116" s="546"/>
      <c r="O116" s="546"/>
      <c r="P116" s="556"/>
      <c r="Q116" s="546"/>
      <c r="R116" s="546"/>
      <c r="S116" s="552"/>
      <c r="T116" s="552"/>
    </row>
    <row r="117" spans="1:20" x14ac:dyDescent="0.25">
      <c r="A117" s="545">
        <v>2015</v>
      </c>
      <c r="B117" s="557" t="s">
        <v>255</v>
      </c>
      <c r="C117" s="286"/>
      <c r="D117" s="558" t="s">
        <v>235</v>
      </c>
      <c r="E117" s="559"/>
      <c r="F117" s="559"/>
      <c r="G117" s="630">
        <f>SUM(G118:G131)</f>
        <v>844082944.31000006</v>
      </c>
      <c r="H117" s="597">
        <f t="shared" si="8"/>
        <v>0.8195054071428014</v>
      </c>
      <c r="I117" s="548" t="s">
        <v>253</v>
      </c>
      <c r="J117" s="631" t="s">
        <v>254</v>
      </c>
      <c r="M117" s="545"/>
      <c r="N117" s="546"/>
      <c r="O117" s="546"/>
      <c r="P117" s="556"/>
      <c r="Q117" s="546"/>
      <c r="R117" s="546"/>
      <c r="S117" s="546"/>
      <c r="T117" s="546"/>
    </row>
    <row r="118" spans="1:20" x14ac:dyDescent="0.25">
      <c r="A118" s="545">
        <v>2016</v>
      </c>
      <c r="B118" s="557" t="s">
        <v>256</v>
      </c>
      <c r="C118" s="286"/>
      <c r="D118" s="560" t="s">
        <v>315</v>
      </c>
      <c r="E118" s="545"/>
      <c r="F118" s="545"/>
      <c r="G118" s="598">
        <f>G4</f>
        <v>168060590.05000001</v>
      </c>
      <c r="H118" s="597">
        <f t="shared" si="8"/>
        <v>0.1631670953690102</v>
      </c>
      <c r="I118" s="549">
        <v>1</v>
      </c>
      <c r="J118" s="549">
        <v>0.4</v>
      </c>
      <c r="M118" s="545"/>
      <c r="N118" s="546"/>
      <c r="O118" s="546"/>
      <c r="P118" s="556"/>
      <c r="Q118" s="546"/>
      <c r="R118" s="546"/>
      <c r="S118" s="546"/>
      <c r="T118" s="546"/>
    </row>
    <row r="119" spans="1:20" x14ac:dyDescent="0.25">
      <c r="A119" s="546">
        <v>2017</v>
      </c>
      <c r="B119" s="557" t="s">
        <v>314</v>
      </c>
      <c r="C119" s="286"/>
      <c r="D119" s="560" t="s">
        <v>276</v>
      </c>
      <c r="E119" s="545"/>
      <c r="F119" s="545"/>
      <c r="G119" s="598">
        <f>G15</f>
        <v>435156206.25999999</v>
      </c>
      <c r="H119" s="597">
        <f t="shared" si="8"/>
        <v>0.42248557015132343</v>
      </c>
      <c r="I119" s="549">
        <v>1</v>
      </c>
      <c r="J119" s="549">
        <v>0.5</v>
      </c>
      <c r="M119" s="545"/>
      <c r="N119" s="546"/>
      <c r="O119" s="546"/>
      <c r="P119" s="556"/>
      <c r="Q119" s="546"/>
      <c r="R119" s="546"/>
      <c r="S119" s="546"/>
      <c r="T119" s="546"/>
    </row>
    <row r="120" spans="1:20" x14ac:dyDescent="0.25">
      <c r="A120" s="546"/>
      <c r="B120" s="286"/>
      <c r="C120" s="286"/>
      <c r="D120" s="560" t="s">
        <v>277</v>
      </c>
      <c r="E120" s="545"/>
      <c r="F120" s="545"/>
      <c r="G120" s="598">
        <f>G29</f>
        <v>0</v>
      </c>
      <c r="H120" s="597">
        <f t="shared" si="8"/>
        <v>0</v>
      </c>
      <c r="I120" s="549">
        <v>1</v>
      </c>
      <c r="J120" s="549">
        <v>0</v>
      </c>
      <c r="M120" s="545"/>
      <c r="N120" s="546"/>
      <c r="O120" s="546"/>
      <c r="P120" s="556"/>
      <c r="Q120" s="546"/>
      <c r="R120" s="546"/>
      <c r="S120" s="546"/>
      <c r="T120" s="546"/>
    </row>
    <row r="121" spans="1:20" x14ac:dyDescent="0.25">
      <c r="A121" s="546"/>
      <c r="B121" s="286"/>
      <c r="C121" s="286"/>
      <c r="D121" s="561" t="s">
        <v>278</v>
      </c>
      <c r="E121" s="548"/>
      <c r="F121" s="548"/>
      <c r="G121" s="598">
        <f>G30</f>
        <v>0</v>
      </c>
      <c r="H121" s="597">
        <f t="shared" si="8"/>
        <v>0</v>
      </c>
      <c r="I121" s="549">
        <v>0.05</v>
      </c>
      <c r="J121" s="549">
        <v>0</v>
      </c>
      <c r="M121" s="545"/>
      <c r="N121" s="546"/>
      <c r="O121" s="546"/>
      <c r="P121" s="556"/>
      <c r="Q121" s="546"/>
      <c r="R121" s="546"/>
      <c r="S121" s="546"/>
      <c r="T121" s="546"/>
    </row>
    <row r="122" spans="1:20" x14ac:dyDescent="0.25">
      <c r="A122" s="546"/>
      <c r="B122" s="286"/>
      <c r="C122" s="286"/>
      <c r="D122" s="561" t="s">
        <v>279</v>
      </c>
      <c r="E122" s="548"/>
      <c r="F122" s="548"/>
      <c r="G122" s="598">
        <f>G31</f>
        <v>0</v>
      </c>
      <c r="H122" s="597">
        <f t="shared" si="8"/>
        <v>0</v>
      </c>
      <c r="I122" s="549">
        <v>0.6</v>
      </c>
      <c r="J122" s="549">
        <v>0.35</v>
      </c>
      <c r="M122" s="545"/>
      <c r="N122" s="546"/>
      <c r="O122" s="546"/>
      <c r="P122" s="556"/>
      <c r="Q122" s="546"/>
      <c r="R122" s="546"/>
      <c r="S122" s="546"/>
      <c r="T122" s="546"/>
    </row>
    <row r="123" spans="1:20" x14ac:dyDescent="0.25">
      <c r="A123" s="546"/>
      <c r="B123" s="286"/>
      <c r="C123" s="545"/>
      <c r="D123" s="560" t="s">
        <v>280</v>
      </c>
      <c r="E123" s="548"/>
      <c r="F123" s="548"/>
      <c r="G123" s="598">
        <f>G32</f>
        <v>0</v>
      </c>
      <c r="H123" s="597">
        <f t="shared" si="8"/>
        <v>0</v>
      </c>
      <c r="I123" s="549">
        <v>0.6</v>
      </c>
      <c r="J123" s="549">
        <v>0</v>
      </c>
      <c r="M123" s="545"/>
      <c r="N123" s="546"/>
      <c r="O123" s="546"/>
      <c r="P123" s="556"/>
      <c r="Q123" s="546"/>
      <c r="R123" s="546"/>
      <c r="S123" s="546"/>
      <c r="T123" s="546"/>
    </row>
    <row r="124" spans="1:20" x14ac:dyDescent="0.25">
      <c r="A124" s="546"/>
      <c r="B124" s="286"/>
      <c r="C124" s="548"/>
      <c r="D124" s="560" t="s">
        <v>281</v>
      </c>
      <c r="E124" s="286"/>
      <c r="F124" s="286"/>
      <c r="G124" s="598">
        <f>G33</f>
        <v>233757844.18000004</v>
      </c>
      <c r="H124" s="597">
        <f t="shared" si="8"/>
        <v>0.22695141343502792</v>
      </c>
      <c r="I124" s="549">
        <v>0.4</v>
      </c>
      <c r="J124" s="549">
        <v>0.3</v>
      </c>
      <c r="M124" s="545"/>
      <c r="N124" s="546"/>
      <c r="O124" s="546"/>
      <c r="P124" s="556"/>
      <c r="Q124" s="546"/>
      <c r="R124" s="546"/>
      <c r="S124" s="546"/>
      <c r="T124" s="546"/>
    </row>
    <row r="125" spans="1:20" x14ac:dyDescent="0.25">
      <c r="A125" s="546"/>
      <c r="B125" s="286"/>
      <c r="C125" s="548"/>
      <c r="D125" s="560" t="s">
        <v>282</v>
      </c>
      <c r="E125" s="286"/>
      <c r="F125" s="286"/>
      <c r="G125" s="598">
        <f>G49</f>
        <v>0</v>
      </c>
      <c r="H125" s="597">
        <f t="shared" si="8"/>
        <v>0</v>
      </c>
      <c r="I125" s="549">
        <v>0.4</v>
      </c>
      <c r="J125" s="549">
        <v>0</v>
      </c>
      <c r="K125" s="549"/>
      <c r="L125" s="549"/>
      <c r="M125" s="545"/>
      <c r="N125" s="546"/>
      <c r="O125" s="546"/>
      <c r="P125" s="556"/>
      <c r="Q125" s="546"/>
      <c r="R125" s="546"/>
      <c r="S125" s="546"/>
      <c r="T125" s="546"/>
    </row>
    <row r="126" spans="1:20" x14ac:dyDescent="0.25">
      <c r="A126" s="546"/>
      <c r="B126" s="286"/>
      <c r="C126" s="548"/>
      <c r="D126" s="560" t="s">
        <v>283</v>
      </c>
      <c r="E126" s="286"/>
      <c r="F126" s="286"/>
      <c r="G126" s="598">
        <f>G50</f>
        <v>0</v>
      </c>
      <c r="H126" s="597">
        <f t="shared" si="8"/>
        <v>0</v>
      </c>
      <c r="I126" s="549">
        <v>0.2</v>
      </c>
      <c r="J126" s="549">
        <v>0</v>
      </c>
      <c r="K126" s="549"/>
      <c r="L126" s="549"/>
      <c r="M126" s="545"/>
      <c r="N126" s="546"/>
      <c r="O126" s="546"/>
      <c r="P126" s="556"/>
      <c r="Q126" s="546"/>
      <c r="R126" s="546"/>
      <c r="S126" s="546"/>
      <c r="T126" s="546"/>
    </row>
    <row r="127" spans="1:20" x14ac:dyDescent="0.25">
      <c r="A127" s="546"/>
      <c r="B127" s="286"/>
      <c r="C127" s="548"/>
      <c r="D127" s="560" t="s">
        <v>284</v>
      </c>
      <c r="E127" s="286"/>
      <c r="F127" s="286"/>
      <c r="G127" s="598">
        <f>G51</f>
        <v>0</v>
      </c>
      <c r="H127" s="597">
        <f t="shared" si="8"/>
        <v>0</v>
      </c>
      <c r="I127" s="549">
        <v>0.15</v>
      </c>
      <c r="J127" s="549">
        <v>0</v>
      </c>
      <c r="K127" s="549"/>
      <c r="L127" s="549"/>
      <c r="M127" s="545"/>
      <c r="N127" s="546"/>
      <c r="O127" s="546"/>
      <c r="P127" s="556"/>
      <c r="Q127" s="546"/>
      <c r="R127" s="546"/>
      <c r="S127" s="546"/>
      <c r="T127" s="546"/>
    </row>
    <row r="128" spans="1:20" x14ac:dyDescent="0.25">
      <c r="A128" s="546"/>
      <c r="B128" s="286"/>
      <c r="C128" s="548"/>
      <c r="D128" s="560" t="s">
        <v>285</v>
      </c>
      <c r="E128" s="286"/>
      <c r="F128" s="286"/>
      <c r="G128" s="598">
        <f>G52</f>
        <v>0</v>
      </c>
      <c r="H128" s="597">
        <f t="shared" si="8"/>
        <v>0</v>
      </c>
      <c r="I128" s="549">
        <v>0.15</v>
      </c>
      <c r="J128" s="549">
        <v>0</v>
      </c>
      <c r="K128" s="549"/>
      <c r="L128" s="549"/>
      <c r="M128" s="545"/>
      <c r="N128" s="546"/>
      <c r="O128" s="546"/>
      <c r="P128" s="556"/>
      <c r="Q128" s="546"/>
      <c r="R128" s="546"/>
      <c r="S128" s="546"/>
      <c r="T128" s="546"/>
    </row>
    <row r="129" spans="1:20" x14ac:dyDescent="0.25">
      <c r="A129" s="546"/>
      <c r="B129" s="286"/>
      <c r="C129" s="548"/>
      <c r="D129" s="560" t="s">
        <v>286</v>
      </c>
      <c r="E129" s="286"/>
      <c r="F129" s="286"/>
      <c r="G129" s="598">
        <f>G53</f>
        <v>7108303.8199999994</v>
      </c>
      <c r="H129" s="597">
        <f t="shared" si="8"/>
        <v>6.901328187439857E-3</v>
      </c>
      <c r="I129" s="549">
        <v>0.05</v>
      </c>
      <c r="J129" s="549">
        <v>0.02</v>
      </c>
      <c r="K129" s="549"/>
      <c r="L129" s="549"/>
      <c r="M129" s="545"/>
      <c r="N129" s="546"/>
      <c r="O129" s="546"/>
      <c r="P129" s="556"/>
      <c r="Q129" s="546"/>
      <c r="R129" s="546"/>
      <c r="S129" s="546"/>
      <c r="T129" s="546"/>
    </row>
    <row r="130" spans="1:20" x14ac:dyDescent="0.25">
      <c r="A130" s="546"/>
      <c r="B130" s="286"/>
      <c r="C130" s="548"/>
      <c r="D130" s="560" t="s">
        <v>287</v>
      </c>
      <c r="E130" s="286"/>
      <c r="F130" s="286"/>
      <c r="G130" s="598">
        <f>G57</f>
        <v>0</v>
      </c>
      <c r="H130" s="597">
        <f t="shared" si="8"/>
        <v>0</v>
      </c>
      <c r="I130" s="549">
        <v>0.05</v>
      </c>
      <c r="J130" s="549">
        <v>0.01</v>
      </c>
      <c r="K130" s="549"/>
      <c r="L130" s="549"/>
      <c r="M130" s="545"/>
      <c r="N130" s="546"/>
      <c r="O130" s="546"/>
      <c r="P130" s="556"/>
      <c r="Q130" s="546"/>
      <c r="R130" s="546"/>
      <c r="S130" s="546"/>
      <c r="T130" s="546"/>
    </row>
    <row r="131" spans="1:20" x14ac:dyDescent="0.25">
      <c r="A131" s="546"/>
      <c r="B131" s="286"/>
      <c r="C131" s="548"/>
      <c r="D131" s="560" t="s">
        <v>288</v>
      </c>
      <c r="E131" s="286"/>
      <c r="F131" s="286"/>
      <c r="G131" s="598">
        <f>G58</f>
        <v>0</v>
      </c>
      <c r="H131" s="597">
        <f t="shared" si="8"/>
        <v>0</v>
      </c>
      <c r="I131" s="549">
        <v>0.05</v>
      </c>
      <c r="J131" s="549">
        <v>0</v>
      </c>
      <c r="K131" s="549"/>
      <c r="L131" s="549"/>
      <c r="M131" s="545"/>
      <c r="N131" s="546"/>
      <c r="O131" s="546"/>
      <c r="P131" s="556"/>
      <c r="Q131" s="546"/>
      <c r="R131" s="546"/>
      <c r="S131" s="546"/>
      <c r="T131" s="546"/>
    </row>
    <row r="132" spans="1:20" x14ac:dyDescent="0.25">
      <c r="A132" s="546"/>
      <c r="B132" s="286"/>
      <c r="C132" s="548"/>
      <c r="D132" s="564" t="s">
        <v>275</v>
      </c>
      <c r="E132" s="565"/>
      <c r="F132" s="565"/>
      <c r="G132" s="598">
        <f>SUM(G133:G139)</f>
        <v>185894319.47999999</v>
      </c>
      <c r="H132" s="597">
        <f t="shared" si="8"/>
        <v>0.18048155219570708</v>
      </c>
      <c r="I132" s="549"/>
      <c r="J132" s="549"/>
      <c r="K132" s="549"/>
      <c r="L132" s="549"/>
      <c r="M132" s="545"/>
      <c r="N132" s="546"/>
      <c r="O132" s="546"/>
      <c r="P132" s="556"/>
      <c r="Q132" s="546"/>
      <c r="R132" s="546"/>
      <c r="S132" s="546"/>
      <c r="T132" s="546"/>
    </row>
    <row r="133" spans="1:20" x14ac:dyDescent="0.25">
      <c r="A133" s="546"/>
      <c r="B133" s="286"/>
      <c r="C133" s="548"/>
      <c r="D133" s="560" t="s">
        <v>290</v>
      </c>
      <c r="E133" s="286"/>
      <c r="F133" s="286"/>
      <c r="G133" s="598">
        <f>G59</f>
        <v>58169639.240000002</v>
      </c>
      <c r="H133" s="597">
        <f t="shared" si="8"/>
        <v>5.6475888074831844E-2</v>
      </c>
      <c r="I133" s="549">
        <v>0.3</v>
      </c>
      <c r="J133" s="549">
        <v>0.15</v>
      </c>
      <c r="K133" s="549"/>
      <c r="L133" s="549"/>
      <c r="M133" s="545"/>
      <c r="N133" s="546"/>
      <c r="O133" s="546"/>
      <c r="P133" s="556"/>
      <c r="Q133" s="546"/>
      <c r="R133" s="546"/>
      <c r="S133" s="546"/>
      <c r="T133" s="546"/>
    </row>
    <row r="134" spans="1:20" x14ac:dyDescent="0.25">
      <c r="A134" s="546"/>
      <c r="B134" s="286"/>
      <c r="C134" s="548"/>
      <c r="D134" s="560" t="s">
        <v>289</v>
      </c>
      <c r="E134" s="286"/>
      <c r="F134" s="286"/>
      <c r="G134" s="598">
        <f>G62</f>
        <v>0</v>
      </c>
      <c r="H134" s="597">
        <f t="shared" si="8"/>
        <v>0</v>
      </c>
      <c r="I134" s="549">
        <v>0.3</v>
      </c>
      <c r="J134" s="549">
        <v>0.02</v>
      </c>
      <c r="K134" s="549"/>
      <c r="L134" s="549"/>
      <c r="M134" s="545"/>
      <c r="N134" s="546"/>
      <c r="O134" s="546"/>
      <c r="P134" s="556"/>
      <c r="Q134" s="546"/>
      <c r="R134" s="546"/>
      <c r="S134" s="546"/>
      <c r="T134" s="546"/>
    </row>
    <row r="135" spans="1:20" x14ac:dyDescent="0.25">
      <c r="A135" s="546"/>
      <c r="B135" s="286"/>
      <c r="C135" s="548"/>
      <c r="D135" s="560" t="s">
        <v>291</v>
      </c>
      <c r="E135" s="286"/>
      <c r="F135" s="286"/>
      <c r="G135" s="598">
        <f>G64</f>
        <v>81581296.319999993</v>
      </c>
      <c r="H135" s="597">
        <f t="shared" si="8"/>
        <v>7.9205857560137247E-2</v>
      </c>
      <c r="I135" s="549">
        <v>0.2</v>
      </c>
      <c r="J135" s="549">
        <v>0.15</v>
      </c>
      <c r="K135" s="549"/>
      <c r="L135" s="549"/>
      <c r="M135" s="545"/>
      <c r="N135" s="546"/>
      <c r="O135" s="546"/>
      <c r="P135" s="556"/>
      <c r="Q135" s="546"/>
      <c r="R135" s="546"/>
      <c r="S135" s="546"/>
      <c r="T135" s="546"/>
    </row>
    <row r="136" spans="1:20" x14ac:dyDescent="0.25">
      <c r="A136" s="546"/>
      <c r="B136" s="286"/>
      <c r="C136" s="548"/>
      <c r="D136" s="560" t="s">
        <v>292</v>
      </c>
      <c r="E136" s="286"/>
      <c r="F136" s="286"/>
      <c r="G136" s="598">
        <f>G73</f>
        <v>0</v>
      </c>
      <c r="H136" s="597">
        <f t="shared" si="8"/>
        <v>0</v>
      </c>
      <c r="I136" s="549">
        <v>0.2</v>
      </c>
      <c r="J136" s="549">
        <v>0</v>
      </c>
      <c r="K136" s="549"/>
      <c r="L136" s="549"/>
      <c r="M136" s="545"/>
      <c r="N136" s="546"/>
      <c r="O136" s="546"/>
      <c r="P136" s="556"/>
      <c r="Q136" s="546"/>
      <c r="R136" s="546"/>
      <c r="S136" s="546"/>
      <c r="T136" s="546"/>
    </row>
    <row r="137" spans="1:20" x14ac:dyDescent="0.25">
      <c r="A137" s="546"/>
      <c r="B137" s="286"/>
      <c r="C137" s="548"/>
      <c r="D137" s="560" t="s">
        <v>293</v>
      </c>
      <c r="E137" s="286"/>
      <c r="F137" s="286"/>
      <c r="G137" s="598">
        <f>G74</f>
        <v>15252894.370000001</v>
      </c>
      <c r="H137" s="597">
        <f t="shared" si="8"/>
        <v>1.480876908490438E-2</v>
      </c>
      <c r="I137" s="549">
        <v>0.1</v>
      </c>
      <c r="J137" s="549">
        <v>0.03</v>
      </c>
      <c r="K137" s="549"/>
      <c r="L137" s="549"/>
      <c r="M137" s="545"/>
      <c r="N137" s="546"/>
      <c r="O137" s="546"/>
      <c r="P137" s="556"/>
      <c r="Q137" s="546"/>
      <c r="R137" s="546"/>
      <c r="S137" s="546"/>
      <c r="T137" s="546"/>
    </row>
    <row r="138" spans="1:20" x14ac:dyDescent="0.25">
      <c r="A138" s="546"/>
      <c r="B138" s="286"/>
      <c r="C138" s="548"/>
      <c r="D138" s="560" t="s">
        <v>294</v>
      </c>
      <c r="E138" s="286"/>
      <c r="F138" s="286"/>
      <c r="G138" s="598">
        <f>G79</f>
        <v>15343438.01</v>
      </c>
      <c r="H138" s="597">
        <f t="shared" si="8"/>
        <v>1.4896676325611686E-2</v>
      </c>
      <c r="I138" s="549">
        <v>0.05</v>
      </c>
      <c r="J138" s="549">
        <v>0.03</v>
      </c>
      <c r="K138" s="549"/>
      <c r="L138" s="549"/>
      <c r="M138" s="545"/>
      <c r="N138" s="546"/>
      <c r="O138" s="546"/>
      <c r="P138" s="556"/>
      <c r="Q138" s="546"/>
      <c r="R138" s="546"/>
      <c r="S138" s="546"/>
      <c r="T138" s="546"/>
    </row>
    <row r="139" spans="1:20" x14ac:dyDescent="0.25">
      <c r="A139" s="546"/>
      <c r="B139" s="286"/>
      <c r="C139" s="548"/>
      <c r="D139" s="560" t="s">
        <v>295</v>
      </c>
      <c r="E139" s="286"/>
      <c r="F139" s="286"/>
      <c r="G139" s="598">
        <f>G83</f>
        <v>15547051.539999999</v>
      </c>
      <c r="H139" s="597">
        <f t="shared" si="8"/>
        <v>1.5094361150221943E-2</v>
      </c>
      <c r="I139" s="549">
        <v>0.05</v>
      </c>
      <c r="J139" s="549">
        <v>0.03</v>
      </c>
      <c r="K139" s="549"/>
      <c r="L139" s="549"/>
      <c r="M139" s="545"/>
      <c r="N139" s="546"/>
      <c r="O139" s="546"/>
      <c r="P139" s="556"/>
      <c r="Q139" s="546"/>
      <c r="R139" s="546"/>
      <c r="S139" s="546"/>
      <c r="T139" s="546"/>
    </row>
    <row r="140" spans="1:20" x14ac:dyDescent="0.25">
      <c r="A140" s="546"/>
      <c r="B140" s="286"/>
      <c r="C140" s="548"/>
      <c r="D140" s="564" t="s">
        <v>159</v>
      </c>
      <c r="E140" s="565"/>
      <c r="F140" s="565"/>
      <c r="G140" s="598">
        <f>G86</f>
        <v>13431.76</v>
      </c>
      <c r="H140" s="597">
        <f t="shared" si="8"/>
        <v>1.3040661491439624E-5</v>
      </c>
      <c r="I140" s="549"/>
      <c r="J140" s="549"/>
      <c r="K140" s="549"/>
      <c r="L140" s="549"/>
      <c r="M140" s="545"/>
      <c r="N140" s="546"/>
      <c r="O140" s="546"/>
      <c r="P140" s="556"/>
      <c r="Q140" s="546"/>
      <c r="R140" s="546"/>
      <c r="S140" s="546"/>
      <c r="T140" s="546"/>
    </row>
    <row r="141" spans="1:20" x14ac:dyDescent="0.25">
      <c r="A141" s="546"/>
      <c r="B141" s="286"/>
      <c r="C141" s="548"/>
      <c r="D141" s="560"/>
      <c r="E141" s="286"/>
      <c r="F141" s="286"/>
      <c r="G141" s="598"/>
      <c r="H141" s="597"/>
      <c r="I141" s="545"/>
      <c r="J141" s="549"/>
      <c r="K141" s="549"/>
      <c r="L141" s="549"/>
      <c r="M141" s="545"/>
      <c r="N141" s="546"/>
      <c r="O141" s="546"/>
      <c r="P141" s="556"/>
      <c r="Q141" s="546"/>
      <c r="R141" s="546"/>
      <c r="S141" s="546"/>
      <c r="T141" s="546"/>
    </row>
    <row r="142" spans="1:20" x14ac:dyDescent="0.25">
      <c r="A142" s="546"/>
      <c r="B142" s="546"/>
      <c r="C142" s="546"/>
      <c r="D142" s="546"/>
      <c r="E142" s="546"/>
      <c r="F142" s="546"/>
      <c r="G142" s="598"/>
      <c r="H142" s="597"/>
      <c r="I142" s="545"/>
      <c r="J142" s="545"/>
      <c r="K142" s="545"/>
      <c r="L142" s="545"/>
      <c r="M142" s="545"/>
      <c r="N142" s="546"/>
      <c r="O142" s="546"/>
      <c r="P142" s="556"/>
      <c r="Q142" s="546"/>
      <c r="R142" s="546"/>
      <c r="S142" s="546"/>
      <c r="T142" s="546"/>
    </row>
    <row r="143" spans="1:20" x14ac:dyDescent="0.25">
      <c r="A143" s="546"/>
      <c r="B143" s="546"/>
      <c r="C143" s="546"/>
      <c r="D143" s="546"/>
      <c r="E143" s="546"/>
      <c r="F143" s="546"/>
      <c r="G143" s="598"/>
      <c r="H143" s="597"/>
      <c r="I143" s="545"/>
      <c r="J143" s="545"/>
      <c r="K143" s="545"/>
      <c r="L143" s="545"/>
      <c r="M143" s="545"/>
      <c r="N143" s="546"/>
      <c r="O143" s="546"/>
      <c r="P143" s="556"/>
      <c r="Q143" s="546"/>
      <c r="R143" s="546"/>
      <c r="S143" s="546"/>
      <c r="T143" s="546"/>
    </row>
    <row r="144" spans="1:20" x14ac:dyDescent="0.25">
      <c r="A144" s="546"/>
      <c r="B144" s="546"/>
      <c r="C144" s="546"/>
      <c r="D144" s="546" t="s">
        <v>20</v>
      </c>
      <c r="E144" s="546"/>
      <c r="F144" s="546"/>
      <c r="G144" s="606">
        <f>G5+G6+G7+G8+G9+G10+G11+G12+G13+G14</f>
        <v>168060590.05000001</v>
      </c>
      <c r="H144" s="597">
        <f t="shared" ref="H144:H165" si="9">G144/$G$90</f>
        <v>0.1631670953690102</v>
      </c>
      <c r="I144" s="545"/>
      <c r="J144" s="545"/>
      <c r="K144" s="545"/>
      <c r="L144" s="545"/>
      <c r="M144" s="545"/>
      <c r="N144" s="546"/>
      <c r="O144" s="546"/>
      <c r="P144" s="556"/>
      <c r="Q144" s="546"/>
      <c r="R144" s="546"/>
      <c r="S144" s="546"/>
      <c r="T144" s="546"/>
    </row>
    <row r="145" spans="1:20" x14ac:dyDescent="0.25">
      <c r="A145" s="546"/>
      <c r="B145" s="546"/>
      <c r="C145" s="546"/>
      <c r="D145" s="546" t="s">
        <v>257</v>
      </c>
      <c r="E145" s="546"/>
      <c r="F145" s="546"/>
      <c r="G145" s="607">
        <f>G24+G25+G26+G27+G39+G63+G71</f>
        <v>284876585.25</v>
      </c>
      <c r="H145" s="597">
        <f t="shared" si="9"/>
        <v>0.27658170746666799</v>
      </c>
      <c r="I145" s="545"/>
      <c r="J145" s="545"/>
      <c r="K145" s="545"/>
      <c r="L145" s="545"/>
      <c r="M145" s="545"/>
      <c r="N145" s="546"/>
      <c r="O145" s="546"/>
      <c r="P145" s="556"/>
      <c r="Q145" s="546"/>
      <c r="R145" s="546"/>
      <c r="S145" s="546"/>
      <c r="T145" s="546"/>
    </row>
    <row r="146" spans="1:20" x14ac:dyDescent="0.25">
      <c r="A146" s="546"/>
      <c r="B146" s="546"/>
      <c r="C146" s="546"/>
      <c r="D146" s="546" t="s">
        <v>258</v>
      </c>
      <c r="E146" s="546"/>
      <c r="F146" s="546"/>
      <c r="G146" s="607">
        <f>G18+G19+G20+G21+G38</f>
        <v>142087837.29000002</v>
      </c>
      <c r="H146" s="597">
        <f t="shared" si="9"/>
        <v>0.13795060276163679</v>
      </c>
      <c r="I146" s="545"/>
      <c r="J146" s="545"/>
      <c r="K146" s="545"/>
      <c r="L146" s="545"/>
      <c r="M146" s="545"/>
      <c r="N146" s="546"/>
      <c r="O146" s="546"/>
      <c r="P146" s="556"/>
      <c r="Q146" s="546"/>
      <c r="R146" s="546"/>
      <c r="S146" s="546"/>
      <c r="T146" s="546"/>
    </row>
    <row r="147" spans="1:20" x14ac:dyDescent="0.25">
      <c r="A147" s="546"/>
      <c r="B147" s="546"/>
      <c r="C147" s="546"/>
      <c r="D147" s="546" t="s">
        <v>259</v>
      </c>
      <c r="E147" s="546"/>
      <c r="F147" s="546"/>
      <c r="G147" s="607">
        <f>G22+G41+G42+G43+G44+G60+G65+G77+G78</f>
        <v>108077700.81999999</v>
      </c>
      <c r="H147" s="597">
        <f>G147/$G$90</f>
        <v>0.10493075450772696</v>
      </c>
      <c r="I147" s="545"/>
      <c r="J147" s="545"/>
      <c r="K147" s="545"/>
      <c r="L147" s="545"/>
      <c r="M147" s="545"/>
      <c r="N147" s="546"/>
      <c r="O147" s="546"/>
      <c r="P147" s="556"/>
      <c r="Q147" s="546"/>
      <c r="R147" s="546"/>
      <c r="S147" s="546"/>
      <c r="T147" s="546"/>
    </row>
    <row r="148" spans="1:20" x14ac:dyDescent="0.25">
      <c r="A148" s="546"/>
      <c r="B148" s="546"/>
      <c r="C148" s="546"/>
      <c r="D148" s="546" t="s">
        <v>62</v>
      </c>
      <c r="E148" s="546"/>
      <c r="F148" s="546"/>
      <c r="G148" s="607">
        <f>G45+G46+G47+G48</f>
        <v>98889106.760000005</v>
      </c>
      <c r="H148" s="597">
        <f t="shared" si="9"/>
        <v>9.6009708813140943E-2</v>
      </c>
      <c r="I148" s="545"/>
      <c r="J148" s="545"/>
      <c r="K148" s="545"/>
      <c r="L148" s="545"/>
      <c r="M148" s="545"/>
      <c r="N148" s="546"/>
      <c r="O148" s="546"/>
      <c r="P148" s="556"/>
      <c r="Q148" s="546"/>
      <c r="R148" s="546"/>
      <c r="S148" s="546"/>
      <c r="T148" s="546"/>
    </row>
    <row r="149" spans="1:20" x14ac:dyDescent="0.25">
      <c r="A149" s="546"/>
      <c r="B149" s="546"/>
      <c r="C149" s="546"/>
      <c r="D149" s="546" t="s">
        <v>35</v>
      </c>
      <c r="E149" s="546"/>
      <c r="F149" s="546"/>
      <c r="G149" s="607">
        <f>G16+G17+G34+G35+G36+G37</f>
        <v>64407935.920000002</v>
      </c>
      <c r="H149" s="597">
        <f t="shared" si="9"/>
        <v>6.2532541505733799E-2</v>
      </c>
      <c r="I149" s="545"/>
      <c r="J149" s="545"/>
      <c r="K149" s="545"/>
      <c r="L149" s="545"/>
      <c r="M149" s="545"/>
      <c r="N149" s="546"/>
      <c r="O149" s="546"/>
      <c r="P149" s="556"/>
      <c r="Q149" s="546"/>
      <c r="R149" s="546"/>
      <c r="S149" s="546"/>
      <c r="T149" s="546"/>
    </row>
    <row r="150" spans="1:20" x14ac:dyDescent="0.25">
      <c r="A150" s="546"/>
      <c r="B150" s="546"/>
      <c r="C150" s="546"/>
      <c r="D150" s="546" t="s">
        <v>260</v>
      </c>
      <c r="E150" s="546"/>
      <c r="F150" s="546"/>
      <c r="G150" s="607">
        <f>G40+G67+G68+G69+G70</f>
        <v>52214195.139999993</v>
      </c>
      <c r="H150" s="597">
        <f t="shared" si="9"/>
        <v>5.06938512800044E-2</v>
      </c>
      <c r="I150" s="545"/>
      <c r="J150" s="545"/>
      <c r="K150" s="545"/>
      <c r="L150" s="545"/>
      <c r="M150" s="545"/>
      <c r="N150" s="546"/>
      <c r="O150" s="546"/>
      <c r="P150" s="556"/>
      <c r="Q150" s="546"/>
      <c r="R150" s="546"/>
      <c r="S150" s="546"/>
      <c r="T150" s="546"/>
    </row>
    <row r="151" spans="1:20" x14ac:dyDescent="0.25">
      <c r="A151" s="546"/>
      <c r="B151" s="546"/>
      <c r="C151" s="546"/>
      <c r="D151" s="546" t="s">
        <v>265</v>
      </c>
      <c r="E151" s="546"/>
      <c r="F151" s="546"/>
      <c r="G151" s="606">
        <f>G75+G76+G61</f>
        <v>25390999.150000002</v>
      </c>
      <c r="H151" s="597">
        <f>G151/$G$90</f>
        <v>2.4651678175055335E-2</v>
      </c>
      <c r="I151" s="545"/>
      <c r="J151" s="545"/>
      <c r="K151" s="545"/>
      <c r="L151" s="545"/>
      <c r="M151" s="545"/>
      <c r="N151" s="546"/>
      <c r="O151" s="546"/>
      <c r="P151" s="556"/>
      <c r="Q151" s="546"/>
      <c r="R151" s="546"/>
      <c r="S151" s="546"/>
      <c r="T151" s="546"/>
    </row>
    <row r="152" spans="1:20" x14ac:dyDescent="0.25">
      <c r="A152" s="546"/>
      <c r="B152" s="546"/>
      <c r="C152" s="546"/>
      <c r="D152" s="546" t="s">
        <v>261</v>
      </c>
      <c r="E152" s="546"/>
      <c r="F152" s="546"/>
      <c r="G152" s="606">
        <f>G66</f>
        <v>23515726.350000001</v>
      </c>
      <c r="H152" s="597">
        <f t="shared" si="9"/>
        <v>2.2831008524249772E-2</v>
      </c>
      <c r="I152" s="545"/>
      <c r="J152" s="545"/>
      <c r="K152" s="545"/>
      <c r="L152" s="545"/>
      <c r="M152" s="545"/>
      <c r="N152" s="546"/>
      <c r="O152" s="546"/>
      <c r="P152" s="556"/>
      <c r="Q152" s="546"/>
      <c r="R152" s="546"/>
      <c r="S152" s="546"/>
      <c r="T152" s="546"/>
    </row>
    <row r="153" spans="1:20" x14ac:dyDescent="0.25">
      <c r="A153" s="546"/>
      <c r="B153" s="546"/>
      <c r="C153" s="546"/>
      <c r="D153" s="546" t="s">
        <v>46</v>
      </c>
      <c r="E153" s="546"/>
      <c r="F153" s="546"/>
      <c r="G153" s="606">
        <f>G23</f>
        <v>12730088.609999999</v>
      </c>
      <c r="H153" s="597">
        <f t="shared" si="9"/>
        <v>1.2359420978266525E-2</v>
      </c>
      <c r="I153" s="545"/>
      <c r="J153" s="545"/>
      <c r="K153" s="545"/>
      <c r="L153" s="545"/>
      <c r="M153" s="545"/>
      <c r="N153" s="546"/>
      <c r="O153" s="546"/>
      <c r="P153" s="556"/>
      <c r="Q153" s="546"/>
      <c r="R153" s="546"/>
      <c r="S153" s="546"/>
      <c r="T153" s="546"/>
    </row>
    <row r="154" spans="1:20" x14ac:dyDescent="0.25">
      <c r="A154" s="546"/>
      <c r="B154" s="546"/>
      <c r="C154" s="546"/>
      <c r="D154" s="546" t="s">
        <v>262</v>
      </c>
      <c r="E154" s="546"/>
      <c r="F154" s="546"/>
      <c r="G154" s="606">
        <f>G85</f>
        <v>9647051.5399999991</v>
      </c>
      <c r="H154" s="597">
        <f t="shared" si="9"/>
        <v>9.3661540649632898E-3</v>
      </c>
      <c r="I154" s="545"/>
      <c r="J154" s="545"/>
      <c r="K154" s="545"/>
      <c r="L154" s="545"/>
      <c r="M154" s="545"/>
      <c r="N154" s="546"/>
      <c r="O154" s="546"/>
      <c r="P154" s="556"/>
      <c r="Q154" s="546"/>
      <c r="R154" s="546"/>
      <c r="S154" s="546"/>
      <c r="T154" s="546"/>
    </row>
    <row r="155" spans="1:20" x14ac:dyDescent="0.25">
      <c r="A155" s="546"/>
      <c r="B155" s="546"/>
      <c r="C155" s="546"/>
      <c r="D155" s="546" t="s">
        <v>263</v>
      </c>
      <c r="E155" s="546"/>
      <c r="F155" s="546"/>
      <c r="G155" s="606">
        <f>G80</f>
        <v>14022737.119999999</v>
      </c>
      <c r="H155" s="597">
        <f t="shared" si="9"/>
        <v>1.3614430868729412E-2</v>
      </c>
      <c r="I155" s="545"/>
      <c r="J155" s="545"/>
      <c r="K155" s="545"/>
      <c r="L155" s="545"/>
      <c r="M155" s="545"/>
      <c r="N155" s="546"/>
      <c r="O155" s="546"/>
      <c r="P155" s="556"/>
      <c r="Q155" s="546"/>
      <c r="R155" s="546"/>
      <c r="S155" s="546"/>
      <c r="T155" s="546"/>
    </row>
    <row r="156" spans="1:20" x14ac:dyDescent="0.25">
      <c r="A156" s="546"/>
      <c r="B156" s="546"/>
      <c r="C156" s="546"/>
      <c r="D156" s="546" t="s">
        <v>57</v>
      </c>
      <c r="E156" s="546"/>
      <c r="F156" s="546"/>
      <c r="G156" s="607">
        <f>G28</f>
        <v>7170092.8399999999</v>
      </c>
      <c r="H156" s="597">
        <f>G156/$G$90</f>
        <v>6.9613180691610755E-3</v>
      </c>
      <c r="I156" s="545"/>
      <c r="J156" s="545"/>
      <c r="K156" s="545"/>
      <c r="L156" s="545"/>
      <c r="M156" s="545"/>
      <c r="N156" s="546"/>
      <c r="O156" s="546"/>
      <c r="P156" s="556"/>
      <c r="Q156" s="546"/>
      <c r="R156" s="546"/>
      <c r="S156" s="546"/>
      <c r="T156" s="546"/>
    </row>
    <row r="157" spans="1:20" x14ac:dyDescent="0.25">
      <c r="A157" s="546"/>
      <c r="B157" s="546"/>
      <c r="C157" s="546"/>
      <c r="D157" s="546" t="s">
        <v>82</v>
      </c>
      <c r="E157" s="546"/>
      <c r="F157" s="546"/>
      <c r="G157" s="606">
        <f>G54</f>
        <v>7010526.0499999998</v>
      </c>
      <c r="H157" s="597">
        <f t="shared" si="9"/>
        <v>6.8063974561017567E-3</v>
      </c>
      <c r="I157" s="545"/>
      <c r="J157" s="545"/>
      <c r="K157" s="545"/>
      <c r="L157" s="545"/>
      <c r="M157" s="545"/>
      <c r="N157" s="546"/>
      <c r="O157" s="546"/>
      <c r="P157" s="556"/>
      <c r="Q157" s="546"/>
      <c r="R157" s="546"/>
      <c r="S157" s="546"/>
      <c r="T157" s="546"/>
    </row>
    <row r="158" spans="1:20" x14ac:dyDescent="0.25">
      <c r="A158" s="546"/>
      <c r="B158" s="546"/>
      <c r="C158" s="546"/>
      <c r="D158" s="546" t="s">
        <v>264</v>
      </c>
      <c r="E158" s="546"/>
      <c r="F158" s="546"/>
      <c r="G158" s="606">
        <f>G84</f>
        <v>5900000</v>
      </c>
      <c r="H158" s="597">
        <f t="shared" si="9"/>
        <v>5.7282070852586542E-3</v>
      </c>
      <c r="I158" s="545"/>
      <c r="J158" s="545"/>
      <c r="K158" s="545"/>
      <c r="L158" s="545"/>
      <c r="M158" s="545"/>
      <c r="N158" s="546"/>
      <c r="O158" s="546"/>
      <c r="P158" s="556"/>
      <c r="Q158" s="546"/>
      <c r="R158" s="546"/>
      <c r="S158" s="546"/>
      <c r="T158" s="546"/>
    </row>
    <row r="159" spans="1:20" x14ac:dyDescent="0.25">
      <c r="A159" s="546"/>
      <c r="B159" s="546"/>
      <c r="C159" s="546"/>
      <c r="D159" s="546" t="s">
        <v>266</v>
      </c>
      <c r="E159" s="546"/>
      <c r="F159" s="546"/>
      <c r="G159" s="606">
        <f>G72</f>
        <v>4557612.24</v>
      </c>
      <c r="H159" s="597">
        <f t="shared" si="9"/>
        <v>4.4249062245812825E-3</v>
      </c>
      <c r="I159" s="545"/>
      <c r="J159" s="545"/>
      <c r="K159" s="545"/>
      <c r="L159" s="545"/>
      <c r="M159" s="545"/>
      <c r="N159" s="546"/>
      <c r="O159" s="546"/>
      <c r="P159" s="556"/>
      <c r="Q159" s="546"/>
      <c r="R159" s="546"/>
      <c r="S159" s="546"/>
      <c r="T159" s="546"/>
    </row>
    <row r="160" spans="1:20" x14ac:dyDescent="0.25">
      <c r="A160" s="546"/>
      <c r="B160" s="546"/>
      <c r="C160" s="546"/>
      <c r="D160" s="546" t="s">
        <v>267</v>
      </c>
      <c r="E160" s="546"/>
      <c r="F160" s="546"/>
      <c r="G160" s="607">
        <f>G82</f>
        <v>857185.17</v>
      </c>
      <c r="H160" s="597">
        <f t="shared" si="9"/>
        <v>8.3222612952078715E-4</v>
      </c>
      <c r="I160" s="545"/>
      <c r="J160" s="545"/>
      <c r="K160" s="545"/>
      <c r="L160" s="545"/>
      <c r="M160" s="545"/>
      <c r="N160" s="546"/>
      <c r="O160" s="546"/>
      <c r="P160" s="556"/>
      <c r="Q160" s="546"/>
      <c r="R160" s="546"/>
      <c r="S160" s="546"/>
      <c r="T160" s="546"/>
    </row>
    <row r="161" spans="1:20" x14ac:dyDescent="0.25">
      <c r="A161" s="546"/>
      <c r="B161" s="546"/>
      <c r="C161" s="546"/>
      <c r="D161" s="546" t="s">
        <v>268</v>
      </c>
      <c r="E161" s="546"/>
      <c r="F161" s="546"/>
      <c r="G161" s="607">
        <f>G81</f>
        <v>463515.72</v>
      </c>
      <c r="H161" s="597">
        <f t="shared" si="9"/>
        <v>4.5001932736148581E-4</v>
      </c>
      <c r="I161" s="545"/>
      <c r="J161" s="545"/>
      <c r="K161" s="545"/>
      <c r="L161" s="545"/>
      <c r="M161" s="545"/>
      <c r="N161" s="546"/>
      <c r="O161" s="546"/>
      <c r="P161" s="556"/>
      <c r="Q161" s="546"/>
      <c r="R161" s="546"/>
      <c r="S161" s="546"/>
      <c r="T161" s="546"/>
    </row>
    <row r="162" spans="1:20" x14ac:dyDescent="0.25">
      <c r="A162" s="546"/>
      <c r="B162" s="546"/>
      <c r="C162" s="546"/>
      <c r="D162" s="546" t="s">
        <v>269</v>
      </c>
      <c r="E162" s="546"/>
      <c r="F162" s="546"/>
      <c r="G162" s="607">
        <f>G56</f>
        <v>58503.14</v>
      </c>
      <c r="H162" s="597">
        <f t="shared" si="9"/>
        <v>5.6799678145403218E-5</v>
      </c>
      <c r="I162" s="545"/>
      <c r="J162" s="545"/>
      <c r="K162" s="545"/>
      <c r="L162" s="545"/>
      <c r="M162" s="545"/>
      <c r="N162" s="546"/>
      <c r="O162" s="546"/>
      <c r="P162" s="556"/>
      <c r="Q162" s="546"/>
      <c r="R162" s="546"/>
      <c r="S162" s="546"/>
      <c r="T162" s="546"/>
    </row>
    <row r="163" spans="1:20" x14ac:dyDescent="0.25">
      <c r="A163" s="546"/>
      <c r="B163" s="546"/>
      <c r="C163" s="546"/>
      <c r="D163" s="546" t="s">
        <v>86</v>
      </c>
      <c r="E163" s="546"/>
      <c r="F163" s="546"/>
      <c r="G163" s="607">
        <f>G55</f>
        <v>39274.629999999997</v>
      </c>
      <c r="H163" s="597">
        <f t="shared" si="9"/>
        <v>3.8131053192696963E-5</v>
      </c>
      <c r="I163" s="545"/>
      <c r="J163" s="545"/>
      <c r="K163" s="545"/>
      <c r="L163" s="545"/>
      <c r="M163" s="545"/>
      <c r="N163" s="546"/>
      <c r="O163" s="546"/>
      <c r="P163" s="556"/>
      <c r="Q163" s="546"/>
      <c r="R163" s="546"/>
      <c r="S163" s="546"/>
      <c r="T163" s="546"/>
    </row>
    <row r="164" spans="1:20" x14ac:dyDescent="0.25">
      <c r="A164" s="546"/>
      <c r="B164" s="546"/>
      <c r="C164" s="546"/>
      <c r="D164" s="546"/>
      <c r="E164" s="546"/>
      <c r="F164" s="546"/>
      <c r="G164" s="595"/>
      <c r="H164" s="597">
        <f t="shared" si="9"/>
        <v>0</v>
      </c>
      <c r="I164" s="545"/>
      <c r="J164" s="545"/>
      <c r="K164" s="545"/>
      <c r="L164" s="545"/>
      <c r="M164" s="545"/>
      <c r="N164" s="546"/>
      <c r="O164" s="546"/>
      <c r="P164" s="556"/>
      <c r="Q164" s="546"/>
      <c r="R164" s="546"/>
      <c r="S164" s="546"/>
      <c r="T164" s="546"/>
    </row>
    <row r="165" spans="1:20" x14ac:dyDescent="0.25">
      <c r="A165" s="546"/>
      <c r="B165" s="546"/>
      <c r="C165" s="546"/>
      <c r="D165" s="546" t="s">
        <v>270</v>
      </c>
      <c r="E165" s="546"/>
      <c r="F165" s="546"/>
      <c r="G165" s="606">
        <f>G86</f>
        <v>13431.76</v>
      </c>
      <c r="H165" s="597">
        <f t="shared" si="9"/>
        <v>1.3040661491439624E-5</v>
      </c>
      <c r="I165" s="545"/>
      <c r="J165" s="545"/>
      <c r="K165" s="545"/>
      <c r="L165" s="545"/>
      <c r="M165" s="545"/>
      <c r="N165" s="546"/>
      <c r="O165" s="546"/>
      <c r="P165" s="556"/>
      <c r="Q165" s="546"/>
      <c r="R165" s="546"/>
      <c r="S165" s="546"/>
      <c r="T165" s="546"/>
    </row>
    <row r="166" spans="1:20" ht="15.75" thickBot="1" x14ac:dyDescent="0.3">
      <c r="A166" s="546"/>
      <c r="B166" s="546"/>
      <c r="C166" s="546"/>
      <c r="D166" s="546"/>
      <c r="E166" s="546"/>
      <c r="F166" s="546"/>
      <c r="G166" s="595"/>
      <c r="H166" s="597"/>
      <c r="I166" s="545"/>
      <c r="J166" s="545"/>
      <c r="K166" s="545"/>
      <c r="L166" s="545"/>
      <c r="M166" s="545"/>
      <c r="N166" s="546"/>
      <c r="O166" s="546"/>
      <c r="P166" s="556"/>
      <c r="Q166" s="546"/>
      <c r="R166" s="546"/>
      <c r="S166" s="546"/>
      <c r="T166" s="546"/>
    </row>
    <row r="167" spans="1:20" ht="15.75" thickBot="1" x14ac:dyDescent="0.3">
      <c r="A167" s="546"/>
      <c r="B167" s="546"/>
      <c r="C167" s="546"/>
      <c r="D167" s="546"/>
      <c r="E167" s="562"/>
      <c r="F167" s="546"/>
      <c r="G167" s="608">
        <f>SUM(G144:G166)</f>
        <v>1029990695.55</v>
      </c>
      <c r="H167" s="597">
        <f>SUM(H144:H166)</f>
        <v>1.0000000000000002</v>
      </c>
      <c r="I167" s="545"/>
      <c r="J167" s="545"/>
      <c r="K167" s="545"/>
      <c r="L167" s="545"/>
      <c r="M167" s="545"/>
      <c r="N167" s="546"/>
      <c r="O167" s="546"/>
      <c r="P167" s="556"/>
      <c r="Q167" s="546"/>
      <c r="R167" s="546"/>
      <c r="S167" s="546"/>
      <c r="T167" s="546"/>
    </row>
    <row r="168" spans="1:20" x14ac:dyDescent="0.25">
      <c r="A168" s="546"/>
      <c r="B168" s="546"/>
      <c r="C168" s="546"/>
      <c r="D168" s="546"/>
      <c r="E168" s="546"/>
      <c r="F168" s="546"/>
      <c r="G168" s="598"/>
      <c r="H168" s="597"/>
      <c r="I168" s="545"/>
      <c r="J168" s="545"/>
      <c r="K168" s="545"/>
      <c r="L168" s="545"/>
      <c r="M168" s="632"/>
      <c r="N168" s="546"/>
      <c r="O168" s="546"/>
      <c r="P168" s="556"/>
      <c r="Q168" s="546"/>
      <c r="R168" s="546"/>
      <c r="S168" s="546"/>
      <c r="T168" s="546"/>
    </row>
    <row r="169" spans="1:20" x14ac:dyDescent="0.25">
      <c r="A169" s="546"/>
      <c r="B169" s="546"/>
      <c r="C169" s="546"/>
      <c r="D169" s="546" t="s">
        <v>271</v>
      </c>
      <c r="E169" s="556">
        <f>G169/G103</f>
        <v>0.19910435483017846</v>
      </c>
      <c r="F169" s="546"/>
      <c r="G169" s="554">
        <f>G5+G6+G7+G8+G9+G10+G11+G12+G13+G14</f>
        <v>168060590.05000001</v>
      </c>
      <c r="H169" s="549">
        <f>G169/G177</f>
        <v>0.2014327225300469</v>
      </c>
      <c r="I169" s="545"/>
      <c r="J169" s="545"/>
      <c r="K169" s="545"/>
      <c r="L169" s="545"/>
      <c r="M169" s="545"/>
      <c r="N169" s="546"/>
      <c r="O169" s="546"/>
      <c r="P169" s="556"/>
      <c r="Q169" s="546"/>
      <c r="R169" s="546"/>
      <c r="S169" s="546"/>
      <c r="T169" s="546"/>
    </row>
    <row r="170" spans="1:20" x14ac:dyDescent="0.25">
      <c r="A170" s="546"/>
      <c r="B170" s="546"/>
      <c r="C170" s="546"/>
      <c r="D170" s="546" t="s">
        <v>141</v>
      </c>
      <c r="E170" s="556">
        <f>G170/G103</f>
        <v>0.16955736956276798</v>
      </c>
      <c r="F170" s="546"/>
      <c r="G170" s="554">
        <f>G23+G38+G39+G47+G28</f>
        <v>143120483.72999999</v>
      </c>
      <c r="H170" s="549">
        <f>G170/G177</f>
        <v>0.17154020867696684</v>
      </c>
      <c r="I170" s="545"/>
      <c r="J170" s="545"/>
      <c r="K170" s="545"/>
      <c r="L170" s="545"/>
      <c r="M170" s="545"/>
      <c r="N170" s="546"/>
      <c r="O170" s="546"/>
      <c r="P170" s="556"/>
      <c r="Q170" s="546"/>
      <c r="R170" s="546"/>
      <c r="S170" s="546"/>
      <c r="T170" s="546"/>
    </row>
    <row r="171" spans="1:20" x14ac:dyDescent="0.25">
      <c r="A171" s="546"/>
      <c r="B171" s="546"/>
      <c r="C171" s="546"/>
      <c r="D171" s="546" t="s">
        <v>272</v>
      </c>
      <c r="E171" s="556">
        <f>G171/G103</f>
        <v>0.27774302113359567</v>
      </c>
      <c r="F171" s="546"/>
      <c r="G171" s="554">
        <f>G16+G20+G21+G22+G24+G27+G45+G46</f>
        <v>234438147.04000002</v>
      </c>
      <c r="H171" s="549">
        <f>G171/G177</f>
        <v>0.28099100573856789</v>
      </c>
      <c r="I171" s="545"/>
      <c r="J171" s="545"/>
      <c r="K171" s="545"/>
      <c r="L171" s="545"/>
      <c r="M171" s="545"/>
      <c r="N171" s="546"/>
      <c r="O171" s="546"/>
      <c r="P171" s="556"/>
      <c r="Q171" s="546"/>
      <c r="R171" s="546"/>
      <c r="S171" s="546"/>
      <c r="T171" s="546"/>
    </row>
    <row r="172" spans="1:20" x14ac:dyDescent="0.25">
      <c r="A172" s="546"/>
      <c r="B172" s="546"/>
      <c r="C172" s="546"/>
      <c r="D172" s="546" t="s">
        <v>273</v>
      </c>
      <c r="E172" s="556">
        <f>G172/G103</f>
        <v>4.1893288495369801E-2</v>
      </c>
      <c r="F172" s="546"/>
      <c r="G172" s="554">
        <f>G41+G42</f>
        <v>35361410.299999997</v>
      </c>
      <c r="H172" s="549">
        <f>G172/G177</f>
        <v>4.238319731658613E-2</v>
      </c>
      <c r="I172" s="545"/>
      <c r="J172" s="545"/>
      <c r="K172" s="545"/>
      <c r="L172" s="545"/>
      <c r="M172" s="545"/>
      <c r="N172" s="546"/>
      <c r="O172" s="546"/>
      <c r="P172" s="556"/>
      <c r="Q172" s="546"/>
      <c r="R172" s="546"/>
      <c r="S172" s="546"/>
      <c r="T172" s="546"/>
    </row>
    <row r="173" spans="1:20" x14ac:dyDescent="0.25">
      <c r="A173" s="546"/>
      <c r="B173" s="546"/>
      <c r="C173" s="546"/>
      <c r="D173" s="546" t="s">
        <v>138</v>
      </c>
      <c r="E173" s="556">
        <f>G173/G103</f>
        <v>0.2460225848299252</v>
      </c>
      <c r="F173" s="546"/>
      <c r="G173" s="554">
        <f>G18+G19+G25+G26</f>
        <v>207663467.77000001</v>
      </c>
      <c r="H173" s="549">
        <f>G173/G177</f>
        <v>0.24889962406116012</v>
      </c>
      <c r="I173" s="545"/>
      <c r="J173" s="545"/>
      <c r="K173" s="545"/>
      <c r="L173" s="545"/>
      <c r="M173" s="545"/>
      <c r="N173" s="546"/>
      <c r="O173" s="546"/>
      <c r="P173" s="556"/>
      <c r="Q173" s="546"/>
      <c r="R173" s="546"/>
      <c r="S173" s="546"/>
      <c r="T173" s="546"/>
    </row>
    <row r="174" spans="1:20" x14ac:dyDescent="0.25">
      <c r="A174" s="546"/>
      <c r="B174" s="546"/>
      <c r="C174" s="546"/>
      <c r="D174" s="546" t="s">
        <v>274</v>
      </c>
      <c r="E174" s="556">
        <f>G174/G103</f>
        <v>4.5699013775870462E-2</v>
      </c>
      <c r="F174" s="546"/>
      <c r="G174" s="554">
        <f>G34+G35+G36+G37+G40+G43+G44+G48</f>
        <v>38573758.099999994</v>
      </c>
      <c r="H174" s="549">
        <f>G174/G177</f>
        <v>4.6233427539358135E-2</v>
      </c>
      <c r="I174" s="545"/>
      <c r="J174" s="545"/>
      <c r="K174" s="545"/>
      <c r="L174" s="545"/>
      <c r="M174" s="545"/>
      <c r="N174" s="546"/>
      <c r="O174" s="546"/>
      <c r="P174" s="556"/>
      <c r="Q174" s="546"/>
      <c r="R174" s="546"/>
      <c r="S174" s="546"/>
      <c r="T174" s="546"/>
    </row>
    <row r="175" spans="1:20" x14ac:dyDescent="0.25">
      <c r="A175" s="546"/>
      <c r="B175" s="546"/>
      <c r="C175" s="546"/>
      <c r="D175" s="546" t="s">
        <v>316</v>
      </c>
      <c r="E175" s="556">
        <f>G175/G104</f>
        <v>3.8238413308615209E-2</v>
      </c>
      <c r="F175" s="546"/>
      <c r="G175" s="554">
        <f>G54+G55+G56</f>
        <v>7108303.8199999994</v>
      </c>
      <c r="H175" s="549">
        <f>G175/G177</f>
        <v>8.5198141373140582E-3</v>
      </c>
      <c r="I175" s="545"/>
      <c r="J175" s="545"/>
      <c r="K175" s="545"/>
      <c r="L175" s="545"/>
      <c r="M175" s="545"/>
      <c r="N175" s="546"/>
      <c r="O175" s="546"/>
      <c r="P175" s="556"/>
      <c r="Q175" s="546"/>
      <c r="R175" s="546"/>
      <c r="S175" s="546"/>
      <c r="T175" s="546"/>
    </row>
    <row r="176" spans="1:20" x14ac:dyDescent="0.25">
      <c r="A176" s="546"/>
      <c r="B176" s="546"/>
      <c r="C176" s="546"/>
      <c r="D176" s="546"/>
      <c r="E176" s="556"/>
      <c r="F176" s="546"/>
      <c r="G176" s="554"/>
      <c r="H176" s="549"/>
      <c r="I176" s="545"/>
      <c r="J176" s="545"/>
      <c r="K176" s="545"/>
      <c r="L176" s="545"/>
      <c r="M176" s="545"/>
      <c r="N176" s="546"/>
      <c r="O176" s="546"/>
      <c r="P176" s="556"/>
      <c r="Q176" s="546"/>
      <c r="R176" s="546"/>
      <c r="S176" s="546"/>
      <c r="T176" s="546"/>
    </row>
    <row r="177" spans="1:20" x14ac:dyDescent="0.25">
      <c r="A177" s="546"/>
      <c r="B177" s="546"/>
      <c r="C177" s="546"/>
      <c r="D177" s="546"/>
      <c r="E177" s="556">
        <f>E169+E170+E171+E172+E173+E174</f>
        <v>0.98001963262770753</v>
      </c>
      <c r="F177" s="546"/>
      <c r="G177" s="554">
        <f>SUM(G169:G176)</f>
        <v>834326160.80999994</v>
      </c>
      <c r="H177" s="549">
        <f>SUM(H169:H176)</f>
        <v>1</v>
      </c>
      <c r="I177" s="632">
        <f>G177/G167</f>
        <v>0.81003271623194806</v>
      </c>
      <c r="J177" s="545"/>
      <c r="K177" s="545"/>
      <c r="L177" s="545"/>
      <c r="M177" s="545"/>
      <c r="N177" s="546"/>
      <c r="O177" s="546"/>
      <c r="P177" s="556"/>
      <c r="Q177" s="546"/>
      <c r="R177" s="546"/>
      <c r="S177" s="546"/>
      <c r="T177" s="546"/>
    </row>
    <row r="178" spans="1:20" x14ac:dyDescent="0.25">
      <c r="A178" s="546"/>
      <c r="B178" s="546"/>
      <c r="C178" s="546"/>
      <c r="D178" s="546"/>
      <c r="E178" s="546"/>
      <c r="F178" s="546"/>
      <c r="G178" s="554"/>
      <c r="H178" s="549"/>
      <c r="I178" s="545"/>
      <c r="J178" s="545"/>
      <c r="K178" s="545"/>
      <c r="L178" s="545"/>
      <c r="M178" s="545"/>
      <c r="N178" s="546"/>
      <c r="O178" s="546"/>
      <c r="P178" s="556"/>
      <c r="Q178" s="546"/>
      <c r="R178" s="546"/>
      <c r="S178" s="546"/>
      <c r="T178" s="546"/>
    </row>
    <row r="179" spans="1:20" x14ac:dyDescent="0.25">
      <c r="A179" s="546"/>
      <c r="B179" s="546"/>
      <c r="C179" s="546"/>
      <c r="D179" s="546"/>
      <c r="E179" s="546"/>
      <c r="F179" s="546"/>
      <c r="G179" s="554"/>
      <c r="H179" s="549"/>
      <c r="I179" s="545"/>
      <c r="J179" s="545"/>
      <c r="K179" s="545"/>
      <c r="L179" s="545"/>
      <c r="M179" s="545"/>
      <c r="N179" s="546"/>
      <c r="O179" s="546"/>
      <c r="P179" s="556"/>
      <c r="Q179" s="546"/>
      <c r="R179" s="546"/>
      <c r="S179" s="546"/>
      <c r="T179" s="546"/>
    </row>
    <row r="180" spans="1:20" x14ac:dyDescent="0.25">
      <c r="A180" s="546"/>
      <c r="B180" s="546"/>
      <c r="C180" s="546"/>
      <c r="D180" s="546"/>
      <c r="E180" s="546"/>
      <c r="F180" s="546"/>
      <c r="G180" s="554"/>
      <c r="H180" s="549"/>
      <c r="I180" s="545"/>
      <c r="J180" s="545"/>
      <c r="K180" s="545"/>
      <c r="L180" s="545"/>
      <c r="M180" s="545"/>
      <c r="N180" s="546"/>
      <c r="O180" s="546"/>
      <c r="P180" s="556"/>
      <c r="Q180" s="546"/>
      <c r="R180" s="546"/>
      <c r="S180" s="546"/>
    </row>
  </sheetData>
  <mergeCells count="48">
    <mergeCell ref="O87:O88"/>
    <mergeCell ref="P87:P89"/>
    <mergeCell ref="O80:O82"/>
    <mergeCell ref="P80:P82"/>
    <mergeCell ref="Q80:Q82"/>
    <mergeCell ref="R80:R82"/>
    <mergeCell ref="S80:S82"/>
    <mergeCell ref="O84:O85"/>
    <mergeCell ref="P84:P85"/>
    <mergeCell ref="Q84:Q85"/>
    <mergeCell ref="R84:R85"/>
    <mergeCell ref="S84:S85"/>
    <mergeCell ref="O65:O72"/>
    <mergeCell ref="P65:P72"/>
    <mergeCell ref="Q65:Q72"/>
    <mergeCell ref="R65:R72"/>
    <mergeCell ref="S65:S72"/>
    <mergeCell ref="O75:O78"/>
    <mergeCell ref="P75:P78"/>
    <mergeCell ref="Q75:Q78"/>
    <mergeCell ref="R75:R78"/>
    <mergeCell ref="S75:S78"/>
    <mergeCell ref="O54:O56"/>
    <mergeCell ref="P54:P56"/>
    <mergeCell ref="Q54:Q56"/>
    <mergeCell ref="R54:R56"/>
    <mergeCell ref="S54:S56"/>
    <mergeCell ref="O60:O61"/>
    <mergeCell ref="P60:P61"/>
    <mergeCell ref="Q60:Q61"/>
    <mergeCell ref="R60:R61"/>
    <mergeCell ref="S60:S61"/>
    <mergeCell ref="O16:O28"/>
    <mergeCell ref="P16:P28"/>
    <mergeCell ref="Q16:Q28"/>
    <mergeCell ref="R16:R28"/>
    <mergeCell ref="S16:S28"/>
    <mergeCell ref="O34:O48"/>
    <mergeCell ref="P34:P48"/>
    <mergeCell ref="Q34:Q48"/>
    <mergeCell ref="R34:R48"/>
    <mergeCell ref="S34:S48"/>
    <mergeCell ref="S5:S14"/>
    <mergeCell ref="P3:R3"/>
    <mergeCell ref="O5:O14"/>
    <mergeCell ref="P5:P14"/>
    <mergeCell ref="Q5:Q14"/>
    <mergeCell ref="R5:R14"/>
  </mergeCells>
  <printOptions horizontalCentered="1"/>
  <pageMargins left="0" right="0" top="0" bottom="0" header="0.19685039370078741" footer="0.39370078740157483"/>
  <pageSetup paperSize="9" scale="54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82"/>
  <sheetViews>
    <sheetView topLeftCell="A103" zoomScaleNormal="100" workbookViewId="0">
      <selection activeCell="M87" sqref="M87"/>
    </sheetView>
  </sheetViews>
  <sheetFormatPr defaultRowHeight="15" x14ac:dyDescent="0.25"/>
  <cols>
    <col min="1" max="1" width="5" customWidth="1"/>
    <col min="2" max="2" width="30.140625" customWidth="1"/>
    <col min="3" max="3" width="0.28515625" customWidth="1"/>
    <col min="4" max="4" width="38.28515625" customWidth="1"/>
    <col min="5" max="5" width="7.7109375" bestFit="1" customWidth="1"/>
    <col min="6" max="6" width="6.28515625" customWidth="1"/>
    <col min="7" max="7" width="25.140625" style="1" bestFit="1" customWidth="1"/>
    <col min="8" max="8" width="11.5703125" style="291" customWidth="1"/>
    <col min="9" max="9" width="10.85546875" style="1" customWidth="1"/>
    <col min="10" max="10" width="7.5703125" style="1" customWidth="1"/>
    <col min="11" max="11" width="7.7109375" style="1" customWidth="1"/>
    <col min="12" max="12" width="9.140625" style="1" customWidth="1"/>
    <col min="13" max="13" width="14" style="294" bestFit="1" customWidth="1"/>
    <col min="14" max="14" width="8.140625" style="300" bestFit="1" customWidth="1"/>
    <col min="15" max="15" width="13.5703125" customWidth="1"/>
    <col min="16" max="16" width="6.85546875" customWidth="1"/>
    <col min="17" max="17" width="5" bestFit="1" customWidth="1"/>
    <col min="18" max="18" width="5.85546875" customWidth="1"/>
    <col min="19" max="19" width="23.7109375" bestFit="1" customWidth="1"/>
    <col min="20" max="24" width="14.42578125" style="7" customWidth="1"/>
    <col min="25" max="25" width="14.42578125" customWidth="1"/>
  </cols>
  <sheetData>
    <row r="1" spans="1:25" ht="16.5" customHeight="1" thickBot="1" x14ac:dyDescent="0.3">
      <c r="A1" s="1"/>
      <c r="B1" s="2" t="s">
        <v>328</v>
      </c>
      <c r="C1" s="3"/>
      <c r="D1" s="3"/>
      <c r="E1" s="3"/>
      <c r="F1" s="3"/>
      <c r="G1" s="3"/>
      <c r="H1" s="4"/>
      <c r="I1" s="3"/>
      <c r="J1" s="3"/>
      <c r="K1" s="3"/>
      <c r="L1" s="3"/>
      <c r="M1" s="5"/>
      <c r="N1" s="4"/>
      <c r="O1" s="3"/>
      <c r="P1" s="3"/>
      <c r="Q1" s="3"/>
      <c r="R1" s="3"/>
      <c r="S1" s="6"/>
    </row>
    <row r="2" spans="1:25" ht="15.75" customHeight="1" thickBot="1" x14ac:dyDescent="0.3">
      <c r="A2" s="8"/>
      <c r="B2" s="9" t="s">
        <v>0</v>
      </c>
      <c r="C2" s="10" t="s">
        <v>1</v>
      </c>
      <c r="D2" s="10" t="s">
        <v>2</v>
      </c>
      <c r="E2" s="11" t="s">
        <v>3</v>
      </c>
      <c r="F2" s="12" t="s">
        <v>3</v>
      </c>
      <c r="G2" s="13" t="s">
        <v>4</v>
      </c>
      <c r="H2" s="14"/>
      <c r="I2" s="15" t="s">
        <v>5</v>
      </c>
      <c r="J2" s="16"/>
      <c r="K2" s="16"/>
      <c r="L2" s="17"/>
      <c r="M2" s="18" t="s">
        <v>6</v>
      </c>
      <c r="N2" s="14"/>
      <c r="O2" s="19" t="s">
        <v>7</v>
      </c>
      <c r="P2" s="20" t="s">
        <v>8</v>
      </c>
      <c r="Q2" s="21"/>
      <c r="R2" s="22"/>
      <c r="S2" s="23" t="s">
        <v>9</v>
      </c>
      <c r="T2" s="7" t="s">
        <v>10</v>
      </c>
    </row>
    <row r="3" spans="1:25" ht="15.75" thickBot="1" x14ac:dyDescent="0.3">
      <c r="A3" s="8"/>
      <c r="B3" s="24"/>
      <c r="C3" s="25"/>
      <c r="D3" s="26"/>
      <c r="E3" s="27"/>
      <c r="F3" s="28"/>
      <c r="G3" s="29" t="s">
        <v>11</v>
      </c>
      <c r="H3" s="30" t="s">
        <v>12</v>
      </c>
      <c r="I3" s="31" t="s">
        <v>13</v>
      </c>
      <c r="J3" s="32" t="s">
        <v>14</v>
      </c>
      <c r="K3" s="33" t="s">
        <v>15</v>
      </c>
      <c r="L3" s="34"/>
      <c r="M3" s="35" t="s">
        <v>16</v>
      </c>
      <c r="N3" s="36" t="s">
        <v>17</v>
      </c>
      <c r="O3" s="37"/>
      <c r="P3" s="766" t="s">
        <v>18</v>
      </c>
      <c r="Q3" s="767"/>
      <c r="R3" s="768"/>
      <c r="S3" s="38" t="s">
        <v>19</v>
      </c>
      <c r="T3" s="39"/>
      <c r="U3" s="39"/>
      <c r="V3" s="39"/>
      <c r="W3" s="39"/>
      <c r="X3" s="39"/>
      <c r="Y3" s="39"/>
    </row>
    <row r="4" spans="1:25" s="53" customFormat="1" ht="12" customHeight="1" thickBot="1" x14ac:dyDescent="0.25">
      <c r="A4" s="40"/>
      <c r="B4" s="334" t="s">
        <v>163</v>
      </c>
      <c r="C4" s="335"/>
      <c r="D4" s="336"/>
      <c r="E4" s="336"/>
      <c r="F4" s="336"/>
      <c r="G4" s="582">
        <f>SUM(G5:G14)</f>
        <v>167833426.24000001</v>
      </c>
      <c r="H4" s="43">
        <f t="shared" ref="H4:H16" si="0">G4/$G$92</f>
        <v>0.16138273554683097</v>
      </c>
      <c r="I4" s="44"/>
      <c r="J4" s="44"/>
      <c r="K4" s="44"/>
      <c r="L4" s="44"/>
      <c r="M4" s="45"/>
      <c r="N4" s="46"/>
      <c r="O4" s="47"/>
      <c r="P4" s="48"/>
      <c r="Q4" s="49"/>
      <c r="R4" s="648"/>
      <c r="S4" s="51"/>
      <c r="T4" s="52"/>
      <c r="U4" s="52"/>
      <c r="V4" s="52"/>
      <c r="W4" s="52"/>
      <c r="X4" s="52"/>
      <c r="Y4" s="52"/>
    </row>
    <row r="5" spans="1:25" s="1" customFormat="1" ht="16.5" customHeight="1" x14ac:dyDescent="0.25">
      <c r="A5" s="8">
        <v>1</v>
      </c>
      <c r="B5" s="54" t="s">
        <v>21</v>
      </c>
      <c r="C5" s="55" t="s">
        <v>22</v>
      </c>
      <c r="D5" s="56" t="s">
        <v>23</v>
      </c>
      <c r="E5" s="57"/>
      <c r="F5" s="57"/>
      <c r="G5" s="384">
        <f>'[1]FFIN2 Abril 2018'!$G$5</f>
        <v>26214307.469999999</v>
      </c>
      <c r="H5" s="58">
        <f t="shared" si="0"/>
        <v>2.5206758538818739E-2</v>
      </c>
      <c r="I5" s="363">
        <f>'[1]FFIN2 Abril 2018'!$I$5</f>
        <v>4.1000000000000003E-3</v>
      </c>
      <c r="J5" s="59" t="s">
        <v>24</v>
      </c>
      <c r="K5" s="59"/>
      <c r="L5" s="60"/>
      <c r="M5" s="61">
        <v>0</v>
      </c>
      <c r="N5" s="62"/>
      <c r="O5" s="769" t="s">
        <v>20</v>
      </c>
      <c r="P5" s="772">
        <f>SUM(G5:G14)/G92</f>
        <v>0.16138273554683097</v>
      </c>
      <c r="Q5" s="775">
        <v>1</v>
      </c>
      <c r="R5" s="778">
        <v>0.4</v>
      </c>
      <c r="S5" s="763" t="s">
        <v>169</v>
      </c>
      <c r="T5" s="63"/>
      <c r="U5" s="64"/>
      <c r="V5" s="63"/>
      <c r="W5" s="63"/>
      <c r="X5" s="63"/>
      <c r="Y5" s="65"/>
    </row>
    <row r="6" spans="1:25" s="1" customFormat="1" ht="18.75" thickBot="1" x14ac:dyDescent="0.3">
      <c r="A6" s="8">
        <v>2</v>
      </c>
      <c r="B6" s="66" t="s">
        <v>21</v>
      </c>
      <c r="C6" s="67" t="s">
        <v>22</v>
      </c>
      <c r="D6" s="68" t="s">
        <v>25</v>
      </c>
      <c r="E6" s="68"/>
      <c r="F6" s="69"/>
      <c r="G6" s="384">
        <f>'[1]FFIN2 Abril 2018'!$G$6</f>
        <v>11648026.32</v>
      </c>
      <c r="H6" s="58">
        <f t="shared" si="0"/>
        <v>1.1200333529239917E-2</v>
      </c>
      <c r="I6" s="358">
        <f>'[1]FFIN2 Abril 2018'!$I$6</f>
        <v>6.6E-3</v>
      </c>
      <c r="J6" s="72" t="s">
        <v>26</v>
      </c>
      <c r="K6" s="73"/>
      <c r="L6" s="74"/>
      <c r="M6" s="75"/>
      <c r="N6" s="76"/>
      <c r="O6" s="770"/>
      <c r="P6" s="773"/>
      <c r="Q6" s="776"/>
      <c r="R6" s="779"/>
      <c r="S6" s="764"/>
      <c r="T6" s="63"/>
      <c r="U6" s="64"/>
      <c r="V6" s="63"/>
      <c r="W6" s="63"/>
      <c r="X6" s="63"/>
      <c r="Y6" s="65"/>
    </row>
    <row r="7" spans="1:25" s="1" customFormat="1" ht="18" x14ac:dyDescent="0.25">
      <c r="A7" s="8">
        <v>3</v>
      </c>
      <c r="B7" s="54" t="s">
        <v>21</v>
      </c>
      <c r="C7" s="55" t="s">
        <v>22</v>
      </c>
      <c r="D7" s="56" t="s">
        <v>27</v>
      </c>
      <c r="E7" s="77"/>
      <c r="F7" s="68"/>
      <c r="G7" s="362">
        <f>'[1]FFIN2 Abril 2018'!$G$7</f>
        <v>25645558.32</v>
      </c>
      <c r="H7" s="58">
        <f t="shared" si="0"/>
        <v>2.4659869306302679E-2</v>
      </c>
      <c r="I7" s="358">
        <f>'[1]FFIN2 Abril 2018'!$I$7</f>
        <v>-2.0000000000000001E-4</v>
      </c>
      <c r="J7" s="59" t="s">
        <v>28</v>
      </c>
      <c r="K7" s="79"/>
      <c r="L7" s="80">
        <f>'[1]FFIN2 Abril 2018'!$L$7</f>
        <v>-0.1363</v>
      </c>
      <c r="M7" s="81"/>
      <c r="N7" s="82"/>
      <c r="O7" s="770"/>
      <c r="P7" s="773"/>
      <c r="Q7" s="776"/>
      <c r="R7" s="779"/>
      <c r="S7" s="764"/>
      <c r="T7" s="63"/>
      <c r="U7" s="64"/>
      <c r="V7" s="63"/>
      <c r="W7" s="63"/>
      <c r="X7" s="63"/>
      <c r="Y7" s="65"/>
    </row>
    <row r="8" spans="1:25" s="1" customFormat="1" ht="18.75" thickBot="1" x14ac:dyDescent="0.3">
      <c r="A8" s="8">
        <v>4</v>
      </c>
      <c r="B8" s="54" t="s">
        <v>21</v>
      </c>
      <c r="C8" s="67" t="s">
        <v>22</v>
      </c>
      <c r="D8" s="83" t="s">
        <v>29</v>
      </c>
      <c r="E8" s="83"/>
      <c r="F8" s="68"/>
      <c r="G8" s="357">
        <f>'[1]FFIN2 Abril 2018'!$G$8</f>
        <v>29328982.780000001</v>
      </c>
      <c r="H8" s="58">
        <f t="shared" si="0"/>
        <v>2.8201721062846481E-2</v>
      </c>
      <c r="I8" s="358">
        <f>'[1]FFIN2 Abril 2018'!$I$8</f>
        <v>-6.0000000000000001E-3</v>
      </c>
      <c r="J8" s="84" t="s">
        <v>30</v>
      </c>
      <c r="K8" s="79"/>
      <c r="L8" s="85"/>
      <c r="M8" s="75"/>
      <c r="N8" s="76"/>
      <c r="O8" s="770"/>
      <c r="P8" s="773"/>
      <c r="Q8" s="776"/>
      <c r="R8" s="779"/>
      <c r="S8" s="764"/>
      <c r="T8" s="63"/>
      <c r="U8" s="64"/>
      <c r="V8" s="63"/>
      <c r="W8" s="63"/>
      <c r="X8" s="63"/>
      <c r="Y8" s="65"/>
    </row>
    <row r="9" spans="1:25" s="1" customFormat="1" ht="18" x14ac:dyDescent="0.25">
      <c r="A9" s="8">
        <v>5</v>
      </c>
      <c r="B9" s="66" t="s">
        <v>21</v>
      </c>
      <c r="C9" s="368" t="s">
        <v>22</v>
      </c>
      <c r="D9" s="83" t="s">
        <v>31</v>
      </c>
      <c r="E9" s="83"/>
      <c r="F9" s="77"/>
      <c r="G9" s="362">
        <f>'[1]FFIN2 Abril 2018'!$G$9</f>
        <v>11904116.539999999</v>
      </c>
      <c r="H9" s="58">
        <f t="shared" si="0"/>
        <v>1.1446580901865738E-2</v>
      </c>
      <c r="I9" s="415">
        <f>'[1]FFIN2 Abril 2018'!$I$9</f>
        <v>-6.0000000000000001E-3</v>
      </c>
      <c r="J9" s="369" t="s">
        <v>32</v>
      </c>
      <c r="K9" s="370"/>
      <c r="L9" s="371"/>
      <c r="M9" s="75"/>
      <c r="N9" s="86"/>
      <c r="O9" s="770"/>
      <c r="P9" s="773"/>
      <c r="Q9" s="776"/>
      <c r="R9" s="779"/>
      <c r="S9" s="764"/>
      <c r="T9" s="63"/>
      <c r="U9" s="64"/>
      <c r="V9" s="63"/>
      <c r="W9" s="63"/>
      <c r="X9" s="63"/>
      <c r="Y9" s="65"/>
    </row>
    <row r="10" spans="1:25" s="1" customFormat="1" ht="18" x14ac:dyDescent="0.25">
      <c r="A10" s="8">
        <v>6</v>
      </c>
      <c r="B10" s="54" t="s">
        <v>21</v>
      </c>
      <c r="C10" s="136" t="s">
        <v>22</v>
      </c>
      <c r="D10" s="68" t="s">
        <v>33</v>
      </c>
      <c r="E10" s="68"/>
      <c r="F10" s="68"/>
      <c r="G10" s="384">
        <f>'[1]FFIN2 Abril 2018'!$G$10</f>
        <v>20702811.370000001</v>
      </c>
      <c r="H10" s="58">
        <f t="shared" si="0"/>
        <v>1.9907097216873424E-2</v>
      </c>
      <c r="I10" s="358">
        <f>'[1]FFIN2 Abril 2018'!$I$10</f>
        <v>-6.0000000000000001E-3</v>
      </c>
      <c r="J10" s="72" t="s">
        <v>34</v>
      </c>
      <c r="K10" s="79"/>
      <c r="L10" s="79"/>
      <c r="M10" s="61"/>
      <c r="N10" s="76"/>
      <c r="O10" s="770"/>
      <c r="P10" s="773"/>
      <c r="Q10" s="776"/>
      <c r="R10" s="779"/>
      <c r="S10" s="764"/>
      <c r="T10" s="64"/>
      <c r="U10" s="64"/>
      <c r="V10" s="63"/>
      <c r="W10" s="64"/>
      <c r="X10" s="64"/>
      <c r="Y10" s="90"/>
    </row>
    <row r="11" spans="1:25" s="1" customFormat="1" ht="18" x14ac:dyDescent="0.25">
      <c r="A11" s="8"/>
      <c r="B11" s="372" t="s">
        <v>192</v>
      </c>
      <c r="C11" s="55" t="s">
        <v>22</v>
      </c>
      <c r="D11" s="56" t="s">
        <v>187</v>
      </c>
      <c r="E11" s="56"/>
      <c r="F11" s="56"/>
      <c r="G11" s="357">
        <f>'[2]FFPREV Abril 2018'!$G$5</f>
        <v>13107153.73</v>
      </c>
      <c r="H11" s="58">
        <f t="shared" si="0"/>
        <v>1.2603379264601545E-2</v>
      </c>
      <c r="I11" s="373">
        <f>'[2]FFPREV Abril 2018'!$I$5</f>
        <v>4.1000000000000003E-3</v>
      </c>
      <c r="J11" s="359" t="s">
        <v>24</v>
      </c>
      <c r="K11" s="359"/>
      <c r="L11" s="374"/>
      <c r="M11" s="153"/>
      <c r="N11" s="375"/>
      <c r="O11" s="770"/>
      <c r="P11" s="773"/>
      <c r="Q11" s="776"/>
      <c r="R11" s="779"/>
      <c r="S11" s="764"/>
      <c r="T11" s="64"/>
      <c r="U11" s="64"/>
      <c r="V11" s="63"/>
      <c r="W11" s="64"/>
      <c r="X11" s="64"/>
      <c r="Y11" s="90"/>
    </row>
    <row r="12" spans="1:25" s="1" customFormat="1" ht="18.75" thickBot="1" x14ac:dyDescent="0.3">
      <c r="A12" s="8"/>
      <c r="B12" s="361" t="s">
        <v>192</v>
      </c>
      <c r="C12" s="67" t="s">
        <v>22</v>
      </c>
      <c r="D12" s="68" t="s">
        <v>188</v>
      </c>
      <c r="E12" s="83"/>
      <c r="F12" s="83"/>
      <c r="G12" s="362">
        <f>'[2]FFPREV Abril 2018'!$G$6</f>
        <v>6748831.1299999999</v>
      </c>
      <c r="H12" s="58">
        <f t="shared" si="0"/>
        <v>6.489439284553155E-3</v>
      </c>
      <c r="I12" s="363">
        <f>'[2]FFPREV Abril 2018'!$I$6</f>
        <v>-2.0000000000000001E-4</v>
      </c>
      <c r="J12" s="351" t="s">
        <v>26</v>
      </c>
      <c r="K12" s="352"/>
      <c r="L12" s="353"/>
      <c r="M12" s="153"/>
      <c r="N12" s="76"/>
      <c r="O12" s="770"/>
      <c r="P12" s="773"/>
      <c r="Q12" s="776"/>
      <c r="R12" s="779"/>
      <c r="S12" s="764"/>
      <c r="T12" s="64"/>
      <c r="U12" s="64"/>
      <c r="V12" s="63"/>
      <c r="W12" s="64"/>
      <c r="X12" s="64"/>
      <c r="Y12" s="90"/>
    </row>
    <row r="13" spans="1:25" s="1" customFormat="1" ht="18.75" thickBot="1" x14ac:dyDescent="0.3">
      <c r="A13" s="8"/>
      <c r="B13" s="361" t="s">
        <v>192</v>
      </c>
      <c r="C13" s="67" t="s">
        <v>22</v>
      </c>
      <c r="D13" s="68" t="s">
        <v>189</v>
      </c>
      <c r="E13" s="83"/>
      <c r="F13" s="83"/>
      <c r="G13" s="364">
        <f>'[2]FFPREV Abril 2018'!$G$7</f>
        <v>11492139.18</v>
      </c>
      <c r="H13" s="58">
        <f t="shared" si="0"/>
        <v>1.1050437923499277E-2</v>
      </c>
      <c r="I13" s="358">
        <f>'[2]FFPREV Abril 2018'!$I$7</f>
        <v>-1.4E-3</v>
      </c>
      <c r="J13" s="354" t="s">
        <v>190</v>
      </c>
      <c r="K13" s="352"/>
      <c r="L13" s="360"/>
      <c r="M13" s="153"/>
      <c r="N13" s="76"/>
      <c r="O13" s="770"/>
      <c r="P13" s="773"/>
      <c r="Q13" s="776"/>
      <c r="R13" s="779"/>
      <c r="S13" s="764"/>
      <c r="T13" s="64"/>
      <c r="U13" s="64"/>
      <c r="V13" s="63"/>
      <c r="W13" s="64"/>
      <c r="X13" s="64"/>
      <c r="Y13" s="90"/>
    </row>
    <row r="14" spans="1:25" s="1" customFormat="1" ht="18.75" thickBot="1" x14ac:dyDescent="0.3">
      <c r="A14" s="8"/>
      <c r="B14" s="365" t="s">
        <v>193</v>
      </c>
      <c r="C14" s="67" t="s">
        <v>22</v>
      </c>
      <c r="D14" s="88" t="s">
        <v>191</v>
      </c>
      <c r="E14" s="88"/>
      <c r="F14" s="88"/>
      <c r="G14" s="366">
        <f>'[2]FFPREV Abril 2018'!$G$8</f>
        <v>11041499.4</v>
      </c>
      <c r="H14" s="58">
        <f t="shared" si="0"/>
        <v>1.0617118518229999E-2</v>
      </c>
      <c r="I14" s="367">
        <f>'[2]FFPREV Abril 2018'!$I$8</f>
        <v>-6.0000000000000001E-3</v>
      </c>
      <c r="J14" s="355" t="s">
        <v>30</v>
      </c>
      <c r="K14" s="355"/>
      <c r="L14" s="356"/>
      <c r="M14" s="170"/>
      <c r="N14" s="76"/>
      <c r="O14" s="771"/>
      <c r="P14" s="774"/>
      <c r="Q14" s="777"/>
      <c r="R14" s="780"/>
      <c r="S14" s="765"/>
      <c r="T14" s="64"/>
      <c r="U14" s="64"/>
      <c r="V14" s="63"/>
      <c r="W14" s="64"/>
      <c r="X14" s="64"/>
      <c r="Y14" s="90"/>
    </row>
    <row r="15" spans="1:25" s="53" customFormat="1" ht="18.75" thickBot="1" x14ac:dyDescent="0.25">
      <c r="A15" s="40"/>
      <c r="B15" s="334" t="s">
        <v>164</v>
      </c>
      <c r="C15" s="335"/>
      <c r="D15" s="336"/>
      <c r="E15" s="336"/>
      <c r="F15" s="336"/>
      <c r="G15" s="582">
        <f>SUM(G16:G28)</f>
        <v>400936004.05999994</v>
      </c>
      <c r="H15" s="58">
        <f t="shared" si="0"/>
        <v>0.38552599779433611</v>
      </c>
      <c r="I15" s="91"/>
      <c r="J15" s="92"/>
      <c r="K15" s="92"/>
      <c r="L15" s="44"/>
      <c r="M15" s="93"/>
      <c r="N15" s="131"/>
      <c r="O15" s="572"/>
      <c r="P15" s="320"/>
      <c r="Q15" s="649"/>
      <c r="R15" s="649"/>
      <c r="S15" s="573"/>
      <c r="T15" s="52"/>
      <c r="U15" s="52"/>
      <c r="V15" s="52"/>
      <c r="W15" s="52"/>
      <c r="X15" s="52"/>
      <c r="Y15" s="52"/>
    </row>
    <row r="16" spans="1:25" s="1" customFormat="1" ht="15.75" customHeight="1" thickBot="1" x14ac:dyDescent="0.3">
      <c r="A16" s="8">
        <v>7</v>
      </c>
      <c r="B16" s="636" t="s">
        <v>35</v>
      </c>
      <c r="C16" s="98" t="s">
        <v>36</v>
      </c>
      <c r="D16" s="99" t="s">
        <v>37</v>
      </c>
      <c r="E16" s="653" t="s">
        <v>38</v>
      </c>
      <c r="F16" s="100" t="s">
        <v>39</v>
      </c>
      <c r="G16" s="583">
        <f>'[1]FFIN2 Abril 2018'!$G$12</f>
        <v>54512128.600000001</v>
      </c>
      <c r="H16" s="199">
        <f t="shared" si="0"/>
        <v>5.2416950729281854E-2</v>
      </c>
      <c r="I16" s="432">
        <f>'[1]FFIN2 Abril 2018'!$I$12</f>
        <v>4.0000000000000001E-3</v>
      </c>
      <c r="J16" s="637"/>
      <c r="K16" s="144"/>
      <c r="L16" s="145" t="s">
        <v>40</v>
      </c>
      <c r="M16" s="638">
        <f>'[1]FFIN2 Abril 2018'!$M$12</f>
        <v>1304781541.54</v>
      </c>
      <c r="N16" s="106">
        <f t="shared" ref="N16:N28" si="1">G16/M16</f>
        <v>4.1778739861433621E-2</v>
      </c>
      <c r="O16" s="781" t="s">
        <v>41</v>
      </c>
      <c r="P16" s="784">
        <f>(SUM(G16:G28)/G92)</f>
        <v>0.38552599779433611</v>
      </c>
      <c r="Q16" s="787">
        <v>1</v>
      </c>
      <c r="R16" s="790">
        <v>0.5</v>
      </c>
      <c r="S16" s="793" t="s">
        <v>296</v>
      </c>
      <c r="T16" s="64"/>
      <c r="U16" s="64"/>
      <c r="V16" s="63"/>
      <c r="W16" s="64"/>
      <c r="X16" s="64"/>
      <c r="Y16" s="90"/>
    </row>
    <row r="17" spans="1:25" s="1" customFormat="1" ht="15.75" customHeight="1" thickBot="1" x14ac:dyDescent="0.3">
      <c r="A17" s="8"/>
      <c r="B17" s="54" t="s">
        <v>35</v>
      </c>
      <c r="C17" s="98" t="s">
        <v>77</v>
      </c>
      <c r="D17" s="68" t="s">
        <v>330</v>
      </c>
      <c r="E17" s="190" t="s">
        <v>38</v>
      </c>
      <c r="F17" s="115" t="s">
        <v>39</v>
      </c>
      <c r="G17" s="384">
        <f>'[1]FFIN2 Abril 2018'!$G$13</f>
        <v>25149548.120000001</v>
      </c>
      <c r="H17" s="78">
        <f>G17/$G$71</f>
        <v>3.3063907020403698</v>
      </c>
      <c r="I17" s="358">
        <f>'[1]FFIN2 Abril 2018'!$I$13</f>
        <v>6.0000000000000001E-3</v>
      </c>
      <c r="J17" s="111"/>
      <c r="K17" s="147"/>
      <c r="L17" s="118" t="s">
        <v>40</v>
      </c>
      <c r="M17" s="445">
        <f>'[1]FFIN2 Abril 2018'!$M$13</f>
        <v>3392469637.4099998</v>
      </c>
      <c r="N17" s="119">
        <f t="shared" si="1"/>
        <v>7.4133450872092598E-3</v>
      </c>
      <c r="O17" s="782"/>
      <c r="P17" s="785"/>
      <c r="Q17" s="788"/>
      <c r="R17" s="791"/>
      <c r="S17" s="794"/>
      <c r="T17" s="64"/>
      <c r="U17" s="64"/>
      <c r="V17" s="63"/>
      <c r="W17" s="64"/>
      <c r="X17" s="64"/>
      <c r="Y17" s="90"/>
    </row>
    <row r="18" spans="1:25" s="1" customFormat="1" ht="15.75" customHeight="1" thickBot="1" x14ac:dyDescent="0.3">
      <c r="A18" s="8"/>
      <c r="B18" s="54" t="s">
        <v>322</v>
      </c>
      <c r="C18" s="98" t="s">
        <v>36</v>
      </c>
      <c r="D18" s="83" t="s">
        <v>37</v>
      </c>
      <c r="E18" s="110" t="s">
        <v>38</v>
      </c>
      <c r="F18" s="115" t="s">
        <v>39</v>
      </c>
      <c r="G18" s="384">
        <f>'[2]FFPREV Abril 2018'!$G$10</f>
        <v>14553181.74</v>
      </c>
      <c r="H18" s="70">
        <f>G18/$G$92</f>
        <v>1.3993829076413361E-2</v>
      </c>
      <c r="I18" s="358">
        <f>'[2]FFPREV Abril 2018'!$I$10</f>
        <v>4.0000000000000001E-3</v>
      </c>
      <c r="J18" s="111"/>
      <c r="K18" s="147"/>
      <c r="L18" s="118" t="s">
        <v>40</v>
      </c>
      <c r="M18" s="445">
        <f>'[2]FFPREV Abril 2018'!$M$10</f>
        <v>1304781541.54</v>
      </c>
      <c r="N18" s="128">
        <f t="shared" si="1"/>
        <v>1.1153730549271303E-2</v>
      </c>
      <c r="O18" s="782"/>
      <c r="P18" s="785"/>
      <c r="Q18" s="788"/>
      <c r="R18" s="791"/>
      <c r="S18" s="794"/>
      <c r="T18" s="64"/>
      <c r="U18" s="64"/>
      <c r="V18" s="63"/>
      <c r="W18" s="64"/>
      <c r="X18" s="64"/>
      <c r="Y18" s="90"/>
    </row>
    <row r="19" spans="1:25" s="1" customFormat="1" ht="15.75" customHeight="1" x14ac:dyDescent="0.25">
      <c r="A19" s="8"/>
      <c r="B19" s="107" t="s">
        <v>331</v>
      </c>
      <c r="C19" s="98" t="s">
        <v>77</v>
      </c>
      <c r="D19" s="83" t="s">
        <v>330</v>
      </c>
      <c r="E19" s="190" t="s">
        <v>38</v>
      </c>
      <c r="F19" s="115" t="s">
        <v>39</v>
      </c>
      <c r="G19" s="364">
        <f>'[2]FFPREV Abril 2018'!$G$11</f>
        <v>10059819.24</v>
      </c>
      <c r="H19" s="78">
        <f>G19/$G$36</f>
        <v>0.36012293799919487</v>
      </c>
      <c r="I19" s="373">
        <f>'[2]FFPREV Abril 2018'!$I$11</f>
        <v>6.0000000000000001E-3</v>
      </c>
      <c r="J19" s="411"/>
      <c r="K19" s="147"/>
      <c r="L19" s="118" t="s">
        <v>40</v>
      </c>
      <c r="M19" s="445">
        <f>'[2]FFPREV Abril 2018'!$M$11</f>
        <v>3392469637.4099998</v>
      </c>
      <c r="N19" s="128">
        <f t="shared" si="1"/>
        <v>2.9653380325255396E-3</v>
      </c>
      <c r="O19" s="782"/>
      <c r="P19" s="785"/>
      <c r="Q19" s="788"/>
      <c r="R19" s="791"/>
      <c r="S19" s="794"/>
      <c r="T19" s="64"/>
      <c r="U19" s="64"/>
      <c r="V19" s="63"/>
      <c r="W19" s="64"/>
      <c r="X19" s="64"/>
      <c r="Y19" s="90"/>
    </row>
    <row r="20" spans="1:25" s="1" customFormat="1" ht="15.75" customHeight="1" thickBot="1" x14ac:dyDescent="0.3">
      <c r="A20" s="8">
        <v>8</v>
      </c>
      <c r="B20" s="107" t="s">
        <v>42</v>
      </c>
      <c r="C20" s="108" t="s">
        <v>43</v>
      </c>
      <c r="D20" s="56" t="s">
        <v>44</v>
      </c>
      <c r="E20" s="109" t="s">
        <v>38</v>
      </c>
      <c r="F20" s="110" t="s">
        <v>39</v>
      </c>
      <c r="G20" s="384">
        <f>'[1]FFIN2 Abril 2018'!$G$14</f>
        <v>30077325.629999999</v>
      </c>
      <c r="H20" s="70">
        <f t="shared" ref="H20:H28" si="2">G20/$G$92</f>
        <v>2.892130129763959E-2</v>
      </c>
      <c r="I20" s="376">
        <f>'[1]FFIN2 Abril 2018'!$I$14</f>
        <v>4.2760000000000003E-3</v>
      </c>
      <c r="J20" s="111"/>
      <c r="K20" s="112"/>
      <c r="L20" s="113" t="s">
        <v>45</v>
      </c>
      <c r="M20" s="418">
        <f>'[1]FFIN2 Abril 2018'!$M$14</f>
        <v>6009699793.3500004</v>
      </c>
      <c r="N20" s="114">
        <f t="shared" si="1"/>
        <v>5.0047966893923546E-3</v>
      </c>
      <c r="O20" s="782"/>
      <c r="P20" s="785"/>
      <c r="Q20" s="788"/>
      <c r="R20" s="791"/>
      <c r="S20" s="794"/>
      <c r="T20" s="64"/>
      <c r="U20" s="64"/>
      <c r="V20" s="63"/>
      <c r="W20" s="64"/>
      <c r="X20" s="64"/>
      <c r="Y20" s="90"/>
    </row>
    <row r="21" spans="1:25" s="1" customFormat="1" ht="15.75" customHeight="1" thickBot="1" x14ac:dyDescent="0.3">
      <c r="A21" s="8"/>
      <c r="B21" s="107" t="s">
        <v>194</v>
      </c>
      <c r="C21" s="108" t="s">
        <v>43</v>
      </c>
      <c r="D21" s="56" t="s">
        <v>44</v>
      </c>
      <c r="E21" s="109" t="s">
        <v>38</v>
      </c>
      <c r="F21" s="110" t="s">
        <v>39</v>
      </c>
      <c r="G21" s="357">
        <f>'[2]FFPREV Abril 2018'!$G$12</f>
        <v>18033291.629999999</v>
      </c>
      <c r="H21" s="70">
        <f t="shared" si="2"/>
        <v>1.7340180674149656E-2</v>
      </c>
      <c r="I21" s="376">
        <f>'[2]FFPREV Abril 2018'!$I$12</f>
        <v>4.2760000000000003E-3</v>
      </c>
      <c r="J21" s="111"/>
      <c r="K21" s="377"/>
      <c r="L21" s="211" t="s">
        <v>45</v>
      </c>
      <c r="M21" s="419">
        <f>'[2]FFPREV Abril 2018'!$M$12</f>
        <v>6009699793.3500004</v>
      </c>
      <c r="N21" s="378">
        <f t="shared" si="1"/>
        <v>3.0006975805937325E-3</v>
      </c>
      <c r="O21" s="782"/>
      <c r="P21" s="785"/>
      <c r="Q21" s="788"/>
      <c r="R21" s="791"/>
      <c r="S21" s="794"/>
      <c r="T21" s="64"/>
      <c r="U21" s="64"/>
      <c r="V21" s="63"/>
      <c r="W21" s="64"/>
      <c r="X21" s="64"/>
      <c r="Y21" s="90"/>
    </row>
    <row r="22" spans="1:25" s="1" customFormat="1" ht="15.75" customHeight="1" thickBot="1" x14ac:dyDescent="0.3">
      <c r="A22" s="8"/>
      <c r="B22" s="54" t="s">
        <v>55</v>
      </c>
      <c r="C22" s="98" t="s">
        <v>36</v>
      </c>
      <c r="D22" s="68" t="s">
        <v>56</v>
      </c>
      <c r="E22" s="124" t="s">
        <v>38</v>
      </c>
      <c r="F22" s="124" t="s">
        <v>39</v>
      </c>
      <c r="G22" s="386">
        <f>'[1]FFIN2 Abril 2018'!$G$18</f>
        <v>7045018.3700000001</v>
      </c>
      <c r="H22" s="70">
        <f t="shared" si="2"/>
        <v>6.7742425451200513E-3</v>
      </c>
      <c r="I22" s="358">
        <f>'[1]FFIN2 Abril 2018'!$I$18</f>
        <v>3.8999999999999998E-3</v>
      </c>
      <c r="J22" s="125"/>
      <c r="K22" s="126"/>
      <c r="L22" s="127" t="s">
        <v>53</v>
      </c>
      <c r="M22" s="420">
        <f>'[1]FFIN2 Abril 2018'!$M$18</f>
        <v>1629746203.4100001</v>
      </c>
      <c r="N22" s="128">
        <f t="shared" si="1"/>
        <v>4.322770229658675E-3</v>
      </c>
      <c r="O22" s="782"/>
      <c r="P22" s="785"/>
      <c r="Q22" s="788"/>
      <c r="R22" s="791"/>
      <c r="S22" s="794"/>
      <c r="T22" s="64"/>
      <c r="U22" s="64"/>
      <c r="V22" s="63"/>
      <c r="W22" s="64"/>
      <c r="X22" s="64"/>
      <c r="Y22" s="90"/>
    </row>
    <row r="23" spans="1:25" s="1" customFormat="1" ht="15.75" customHeight="1" x14ac:dyDescent="0.25">
      <c r="A23" s="8">
        <v>9</v>
      </c>
      <c r="B23" s="107" t="s">
        <v>46</v>
      </c>
      <c r="C23" s="98" t="s">
        <v>36</v>
      </c>
      <c r="D23" s="68" t="s">
        <v>47</v>
      </c>
      <c r="E23" s="115" t="s">
        <v>48</v>
      </c>
      <c r="F23" s="115" t="s">
        <v>49</v>
      </c>
      <c r="G23" s="384">
        <f>'[1]FFIN2 Abril 2018'!$G$15</f>
        <v>12712609.58</v>
      </c>
      <c r="H23" s="78">
        <f t="shared" si="2"/>
        <v>1.2223999449463004E-2</v>
      </c>
      <c r="I23" s="363">
        <f>'[1]FFIN2 Abril 2018'!$I$15</f>
        <v>-1.4E-3</v>
      </c>
      <c r="J23" s="117"/>
      <c r="K23" s="112"/>
      <c r="L23" s="118" t="s">
        <v>40</v>
      </c>
      <c r="M23" s="418">
        <f>'[1]FFIN2 Abril 2018'!$M$15</f>
        <v>304351025.89999998</v>
      </c>
      <c r="N23" s="119">
        <f t="shared" si="1"/>
        <v>4.1769563754245259E-2</v>
      </c>
      <c r="O23" s="782"/>
      <c r="P23" s="785"/>
      <c r="Q23" s="788"/>
      <c r="R23" s="791"/>
      <c r="S23" s="794"/>
      <c r="T23" s="64"/>
      <c r="U23" s="64"/>
      <c r="V23" s="63"/>
      <c r="W23" s="64"/>
      <c r="X23" s="64"/>
      <c r="Y23" s="90"/>
    </row>
    <row r="24" spans="1:25" s="1" customFormat="1" ht="18.75" thickBot="1" x14ac:dyDescent="0.3">
      <c r="A24" s="8">
        <v>10</v>
      </c>
      <c r="B24" s="120" t="s">
        <v>50</v>
      </c>
      <c r="C24" s="88" t="s">
        <v>51</v>
      </c>
      <c r="D24" s="68" t="s">
        <v>52</v>
      </c>
      <c r="E24" s="110" t="s">
        <v>38</v>
      </c>
      <c r="F24" s="110" t="s">
        <v>38</v>
      </c>
      <c r="G24" s="585">
        <f>'[1]FFIN2 Abril 2018'!$G$16</f>
        <v>53634291.700000003</v>
      </c>
      <c r="H24" s="204">
        <f t="shared" si="2"/>
        <v>5.1572853558296577E-2</v>
      </c>
      <c r="I24" s="358">
        <f>'[1]FFIN2 Abril 2018'!$I$16</f>
        <v>4.0530000000000002E-3</v>
      </c>
      <c r="J24" s="121"/>
      <c r="K24" s="122"/>
      <c r="L24" s="123" t="s">
        <v>53</v>
      </c>
      <c r="M24" s="421">
        <f>'[1]FFIN2 Abril 2018'!$M$16</f>
        <v>7947962119.2799997</v>
      </c>
      <c r="N24" s="119">
        <f t="shared" si="1"/>
        <v>6.7481815961219875E-3</v>
      </c>
      <c r="O24" s="782"/>
      <c r="P24" s="785"/>
      <c r="Q24" s="788"/>
      <c r="R24" s="791"/>
      <c r="S24" s="794"/>
      <c r="T24" s="64"/>
      <c r="U24" s="64"/>
      <c r="V24" s="63"/>
      <c r="W24" s="64"/>
      <c r="X24" s="64"/>
      <c r="Y24" s="90"/>
    </row>
    <row r="25" spans="1:25" s="1" customFormat="1" ht="18.75" thickBot="1" x14ac:dyDescent="0.3">
      <c r="A25" s="8">
        <v>11</v>
      </c>
      <c r="B25" s="120" t="s">
        <v>50</v>
      </c>
      <c r="C25" s="88" t="s">
        <v>51</v>
      </c>
      <c r="D25" s="68" t="s">
        <v>54</v>
      </c>
      <c r="E25" s="110" t="s">
        <v>38</v>
      </c>
      <c r="F25" s="110" t="s">
        <v>38</v>
      </c>
      <c r="G25" s="585">
        <f>'[1]FFIN2 Abril 2018'!$G$17</f>
        <v>82769520.459999993</v>
      </c>
      <c r="H25" s="78">
        <f t="shared" si="2"/>
        <v>7.9588267551858285E-2</v>
      </c>
      <c r="I25" s="358">
        <f>'[1]FFIN2 Abril 2018'!$I$17</f>
        <v>3.5560000000000001E-3</v>
      </c>
      <c r="J25" s="121"/>
      <c r="K25" s="122"/>
      <c r="L25" s="123" t="s">
        <v>53</v>
      </c>
      <c r="M25" s="421">
        <f>'[1]FFIN2 Abril 2018'!$M$17</f>
        <v>3808020951.6799998</v>
      </c>
      <c r="N25" s="119">
        <f t="shared" si="1"/>
        <v>2.1735573808616845E-2</v>
      </c>
      <c r="O25" s="782"/>
      <c r="P25" s="785"/>
      <c r="Q25" s="788"/>
      <c r="R25" s="791"/>
      <c r="S25" s="794"/>
      <c r="T25" s="64"/>
      <c r="U25" s="64"/>
      <c r="V25" s="63"/>
      <c r="W25" s="64"/>
      <c r="X25" s="64"/>
      <c r="Y25" s="90"/>
    </row>
    <row r="26" spans="1:25" s="1" customFormat="1" ht="18.75" thickBot="1" x14ac:dyDescent="0.3">
      <c r="A26" s="8"/>
      <c r="B26" s="120" t="s">
        <v>196</v>
      </c>
      <c r="C26" s="88" t="s">
        <v>51</v>
      </c>
      <c r="D26" s="68" t="s">
        <v>54</v>
      </c>
      <c r="E26" s="115" t="s">
        <v>38</v>
      </c>
      <c r="F26" s="115" t="s">
        <v>38</v>
      </c>
      <c r="G26" s="364">
        <f>'[2]FFPREV Abril 2018'!$G$13</f>
        <v>42352453.149999999</v>
      </c>
      <c r="H26" s="204">
        <f t="shared" si="2"/>
        <v>4.0724633343849424E-2</v>
      </c>
      <c r="I26" s="358">
        <f>'[2]FFPREV Abril 2018'!$I$13</f>
        <v>3.5560000000000001E-3</v>
      </c>
      <c r="J26" s="379"/>
      <c r="K26" s="380"/>
      <c r="L26" s="381" t="s">
        <v>53</v>
      </c>
      <c r="M26" s="422">
        <f>'[2]FFPREV Abril 2018'!$M$13</f>
        <v>3808020951.6799998</v>
      </c>
      <c r="N26" s="119">
        <f t="shared" si="1"/>
        <v>1.1121906546053849E-2</v>
      </c>
      <c r="O26" s="782"/>
      <c r="P26" s="785"/>
      <c r="Q26" s="788"/>
      <c r="R26" s="791"/>
      <c r="S26" s="794"/>
      <c r="T26" s="64"/>
      <c r="U26" s="64"/>
      <c r="V26" s="63"/>
      <c r="W26" s="64"/>
      <c r="X26" s="64"/>
      <c r="Y26" s="90"/>
    </row>
    <row r="27" spans="1:25" s="1" customFormat="1" ht="18" x14ac:dyDescent="0.25">
      <c r="A27" s="8">
        <v>12</v>
      </c>
      <c r="B27" s="54" t="s">
        <v>196</v>
      </c>
      <c r="C27" s="197" t="s">
        <v>51</v>
      </c>
      <c r="D27" s="83" t="s">
        <v>197</v>
      </c>
      <c r="E27" s="115" t="s">
        <v>38</v>
      </c>
      <c r="F27" s="115" t="s">
        <v>38</v>
      </c>
      <c r="G27" s="364">
        <f>'[2]FFPREV Abril 2018'!$G$14</f>
        <v>42883934.079999998</v>
      </c>
      <c r="H27" s="70">
        <f t="shared" si="2"/>
        <v>4.1235686763278052E-2</v>
      </c>
      <c r="I27" s="358">
        <f>'[2]FFPREV Abril 2018'!$I$14</f>
        <v>4.0530000000000002E-3</v>
      </c>
      <c r="J27" s="125"/>
      <c r="K27" s="383"/>
      <c r="L27" s="381" t="s">
        <v>53</v>
      </c>
      <c r="M27" s="423">
        <f>'[2]FFPREV Abril 2018'!$M$14</f>
        <v>7947962119.2799997</v>
      </c>
      <c r="N27" s="119">
        <f t="shared" si="1"/>
        <v>5.3955886347234914E-3</v>
      </c>
      <c r="O27" s="782"/>
      <c r="P27" s="785"/>
      <c r="Q27" s="788"/>
      <c r="R27" s="791"/>
      <c r="S27" s="794"/>
      <c r="T27" s="64"/>
      <c r="U27" s="64"/>
      <c r="V27" s="63"/>
      <c r="W27" s="64"/>
      <c r="X27" s="64"/>
      <c r="Y27" s="90"/>
    </row>
    <row r="28" spans="1:25" s="1" customFormat="1" ht="18.75" thickBot="1" x14ac:dyDescent="0.3">
      <c r="A28" s="129">
        <v>13</v>
      </c>
      <c r="B28" s="227" t="s">
        <v>57</v>
      </c>
      <c r="C28" s="312"/>
      <c r="D28" s="88" t="s">
        <v>58</v>
      </c>
      <c r="E28" s="155" t="s">
        <v>38</v>
      </c>
      <c r="F28" s="155" t="s">
        <v>39</v>
      </c>
      <c r="G28" s="586">
        <f>'[1]FFIN2 Abril 2018'!$G$19</f>
        <v>7152881.7599999998</v>
      </c>
      <c r="H28" s="207">
        <f t="shared" si="2"/>
        <v>6.8779601973990587E-3</v>
      </c>
      <c r="I28" s="367">
        <f>'[1]FFIN2 Abril 2018'!$I$19</f>
        <v>-2.3999999999999998E-3</v>
      </c>
      <c r="J28" s="313"/>
      <c r="K28" s="175"/>
      <c r="L28" s="314" t="s">
        <v>40</v>
      </c>
      <c r="M28" s="424">
        <f>'[1]FFIN2 Abril 2018'!$M$19</f>
        <v>42265998.509999998</v>
      </c>
      <c r="N28" s="655">
        <f t="shared" si="1"/>
        <v>0.16923489358254842</v>
      </c>
      <c r="O28" s="783"/>
      <c r="P28" s="786"/>
      <c r="Q28" s="789"/>
      <c r="R28" s="792"/>
      <c r="S28" s="795"/>
      <c r="T28" s="64"/>
      <c r="U28" s="64"/>
      <c r="V28" s="63"/>
      <c r="W28" s="64"/>
      <c r="X28" s="64"/>
      <c r="Y28" s="90"/>
    </row>
    <row r="29" spans="1:25" s="1" customFormat="1" ht="23.25" thickBot="1" x14ac:dyDescent="0.3">
      <c r="A29" s="185"/>
      <c r="B29" s="337" t="s">
        <v>168</v>
      </c>
      <c r="C29" s="338"/>
      <c r="D29" s="339"/>
      <c r="E29" s="340"/>
      <c r="F29" s="340"/>
      <c r="G29" s="609">
        <v>0</v>
      </c>
      <c r="H29" s="43"/>
      <c r="I29" s="43"/>
      <c r="J29" s="43"/>
      <c r="K29" s="318"/>
      <c r="L29" s="321"/>
      <c r="M29" s="315"/>
      <c r="N29" s="187"/>
      <c r="O29" s="316" t="s">
        <v>41</v>
      </c>
      <c r="P29" s="651">
        <v>0</v>
      </c>
      <c r="Q29" s="173">
        <v>1</v>
      </c>
      <c r="R29" s="96">
        <v>0</v>
      </c>
      <c r="S29" s="652" t="s">
        <v>297</v>
      </c>
      <c r="T29" s="64"/>
      <c r="U29" s="64"/>
      <c r="V29" s="63"/>
      <c r="W29" s="64"/>
      <c r="X29" s="64"/>
      <c r="Y29" s="90"/>
    </row>
    <row r="30" spans="1:25" s="1" customFormat="1" ht="23.25" thickBot="1" x14ac:dyDescent="0.3">
      <c r="A30" s="185"/>
      <c r="B30" s="337" t="s">
        <v>165</v>
      </c>
      <c r="C30" s="338"/>
      <c r="D30" s="341"/>
      <c r="E30" s="342"/>
      <c r="F30" s="342"/>
      <c r="G30" s="609">
        <v>0</v>
      </c>
      <c r="H30" s="43"/>
      <c r="I30" s="116"/>
      <c r="J30" s="116"/>
      <c r="K30" s="198"/>
      <c r="L30" s="113"/>
      <c r="M30" s="319"/>
      <c r="N30" s="218"/>
      <c r="O30" s="316" t="s">
        <v>41</v>
      </c>
      <c r="P30" s="322">
        <v>0</v>
      </c>
      <c r="Q30" s="172">
        <v>0.05</v>
      </c>
      <c r="R30" s="173">
        <v>0</v>
      </c>
      <c r="S30" s="569" t="s">
        <v>298</v>
      </c>
      <c r="T30" s="64"/>
      <c r="U30" s="64"/>
      <c r="V30" s="63"/>
      <c r="W30" s="64"/>
      <c r="X30" s="64"/>
      <c r="Y30" s="90"/>
    </row>
    <row r="31" spans="1:25" s="53" customFormat="1" ht="18.75" thickBot="1" x14ac:dyDescent="0.25">
      <c r="A31" s="40"/>
      <c r="B31" s="334" t="s">
        <v>166</v>
      </c>
      <c r="C31" s="335"/>
      <c r="D31" s="336"/>
      <c r="E31" s="336"/>
      <c r="F31" s="336"/>
      <c r="G31" s="582">
        <f>SUM(G32:G38)</f>
        <v>201460762.61000001</v>
      </c>
      <c r="H31" s="43">
        <f t="shared" ref="H31:H38" si="3">G31/$G$92</f>
        <v>0.19371760264764121</v>
      </c>
      <c r="I31" s="91"/>
      <c r="J31" s="44"/>
      <c r="K31" s="44"/>
      <c r="L31" s="44"/>
      <c r="M31" s="130"/>
      <c r="N31" s="131"/>
      <c r="O31" s="42"/>
      <c r="P31" s="647"/>
      <c r="Q31" s="647"/>
      <c r="R31" s="647"/>
      <c r="S31" s="140"/>
      <c r="T31" s="52"/>
      <c r="U31" s="52"/>
      <c r="V31" s="52"/>
      <c r="W31" s="52"/>
      <c r="X31" s="52"/>
      <c r="Y31" s="52"/>
    </row>
    <row r="32" spans="1:25" s="53" customFormat="1" ht="23.25" customHeight="1" thickBot="1" x14ac:dyDescent="0.3">
      <c r="A32" s="40"/>
      <c r="B32" s="107" t="s">
        <v>42</v>
      </c>
      <c r="C32" s="108" t="s">
        <v>43</v>
      </c>
      <c r="D32" s="56" t="s">
        <v>61</v>
      </c>
      <c r="E32" s="109" t="s">
        <v>38</v>
      </c>
      <c r="F32" s="109" t="s">
        <v>39</v>
      </c>
      <c r="G32" s="584">
        <f>'[1]FFIN2 Abril 2018'!$G$23</f>
        <v>21552635.32</v>
      </c>
      <c r="H32" s="70">
        <f t="shared" si="3"/>
        <v>2.0724258117754364E-2</v>
      </c>
      <c r="I32" s="376">
        <f>'[1]FFIN2 Abril 2018'!$I$23</f>
        <v>4.0470000000000002E-3</v>
      </c>
      <c r="J32" s="111"/>
      <c r="K32" s="112"/>
      <c r="L32" s="127" t="s">
        <v>53</v>
      </c>
      <c r="M32" s="428">
        <f>'[1]FFIN2 Abril 2018'!$M$23</f>
        <v>2311189701.0300002</v>
      </c>
      <c r="N32" s="114">
        <f t="shared" ref="N32:N38" si="4">G32/M32</f>
        <v>9.32534240283041E-3</v>
      </c>
      <c r="O32" s="825" t="s">
        <v>333</v>
      </c>
      <c r="P32" s="811">
        <f>SUM(G32:G38)/G92</f>
        <v>0.19371760264764121</v>
      </c>
      <c r="Q32" s="790">
        <v>0.6</v>
      </c>
      <c r="R32" s="790">
        <v>0.35</v>
      </c>
      <c r="S32" s="821" t="s">
        <v>332</v>
      </c>
      <c r="T32" s="52"/>
      <c r="U32" s="52"/>
      <c r="V32" s="52"/>
      <c r="W32" s="52"/>
      <c r="X32" s="52"/>
      <c r="Y32" s="52"/>
    </row>
    <row r="33" spans="1:25" s="53" customFormat="1" ht="18.75" thickBot="1" x14ac:dyDescent="0.3">
      <c r="A33" s="40"/>
      <c r="B33" s="107" t="s">
        <v>214</v>
      </c>
      <c r="C33" s="108" t="s">
        <v>43</v>
      </c>
      <c r="D33" s="56" t="s">
        <v>61</v>
      </c>
      <c r="E33" s="110" t="s">
        <v>38</v>
      </c>
      <c r="F33" s="190" t="s">
        <v>39</v>
      </c>
      <c r="G33" s="357">
        <f>'[2]FFPREV Abril 2018'!$G$18</f>
        <v>20153504</v>
      </c>
      <c r="H33" s="70">
        <f t="shared" si="3"/>
        <v>1.9378902518042283E-2</v>
      </c>
      <c r="I33" s="376">
        <f>'[2]FFPREV Abril 2018'!$I$18</f>
        <v>4.0470000000000002E-3</v>
      </c>
      <c r="J33" s="111"/>
      <c r="K33" s="377"/>
      <c r="L33" s="381" t="s">
        <v>53</v>
      </c>
      <c r="M33" s="429">
        <f>'[2]FFPREV Abril 2018'!$M$18</f>
        <v>2311189701.0300002</v>
      </c>
      <c r="N33" s="378">
        <f t="shared" si="4"/>
        <v>8.7199696290695787E-3</v>
      </c>
      <c r="O33" s="826"/>
      <c r="P33" s="812"/>
      <c r="Q33" s="791"/>
      <c r="R33" s="791"/>
      <c r="S33" s="822"/>
      <c r="T33" s="52"/>
      <c r="U33" s="52"/>
      <c r="V33" s="52"/>
      <c r="W33" s="52"/>
      <c r="X33" s="52"/>
      <c r="Y33" s="52"/>
    </row>
    <row r="34" spans="1:25" s="53" customFormat="1" ht="18" x14ac:dyDescent="0.25">
      <c r="A34" s="40"/>
      <c r="B34" s="54" t="s">
        <v>42</v>
      </c>
      <c r="C34" s="55" t="s">
        <v>43</v>
      </c>
      <c r="D34" s="56" t="s">
        <v>59</v>
      </c>
      <c r="E34" s="109" t="s">
        <v>38</v>
      </c>
      <c r="F34" s="115" t="s">
        <v>39</v>
      </c>
      <c r="G34" s="384">
        <f>'[1]FFIN2 Abril 2018'!$G$24</f>
        <v>52980035.340000004</v>
      </c>
      <c r="H34" s="141">
        <f t="shared" si="3"/>
        <v>5.0943743591997465E-2</v>
      </c>
      <c r="I34" s="358">
        <f>'[1]FFIN2 Abril 2018'!$I$24</f>
        <v>-1.737E-3</v>
      </c>
      <c r="J34" s="111"/>
      <c r="K34" s="147"/>
      <c r="L34" s="118" t="s">
        <v>40</v>
      </c>
      <c r="M34" s="445">
        <f>'[1]FFIN2 Abril 2018'!$M$24</f>
        <v>1062885814.6</v>
      </c>
      <c r="N34" s="119">
        <f t="shared" si="4"/>
        <v>4.984546280725196E-2</v>
      </c>
      <c r="O34" s="826"/>
      <c r="P34" s="812"/>
      <c r="Q34" s="791"/>
      <c r="R34" s="791"/>
      <c r="S34" s="822"/>
      <c r="T34" s="52"/>
      <c r="U34" s="52"/>
      <c r="V34" s="52"/>
      <c r="W34" s="52"/>
      <c r="X34" s="52"/>
      <c r="Y34" s="52"/>
    </row>
    <row r="35" spans="1:25" s="53" customFormat="1" ht="18" x14ac:dyDescent="0.25">
      <c r="A35" s="40"/>
      <c r="B35" s="54" t="s">
        <v>199</v>
      </c>
      <c r="C35" s="197" t="s">
        <v>200</v>
      </c>
      <c r="D35" s="83" t="s">
        <v>201</v>
      </c>
      <c r="E35" s="110" t="s">
        <v>38</v>
      </c>
      <c r="F35" s="110" t="s">
        <v>38</v>
      </c>
      <c r="G35" s="364">
        <f>'[2]FFPREV Abril 2018'!$G$19</f>
        <v>21700242.870000001</v>
      </c>
      <c r="H35" s="141">
        <f t="shared" si="3"/>
        <v>2.0866192360175784E-2</v>
      </c>
      <c r="I35" s="358">
        <f>'[2]FFPREV Abril 2018'!$I$19</f>
        <v>-1.3339999999999999E-3</v>
      </c>
      <c r="J35" s="326"/>
      <c r="K35" s="383"/>
      <c r="L35" s="381" t="s">
        <v>40</v>
      </c>
      <c r="M35" s="431">
        <f>'[2]FFPREV Abril 2018'!$M$19</f>
        <v>2191988538.3600001</v>
      </c>
      <c r="N35" s="378">
        <f t="shared" si="4"/>
        <v>9.8997975994143048E-3</v>
      </c>
      <c r="O35" s="826"/>
      <c r="P35" s="812"/>
      <c r="Q35" s="791"/>
      <c r="R35" s="791"/>
      <c r="S35" s="822"/>
      <c r="T35" s="52"/>
      <c r="U35" s="52"/>
      <c r="V35" s="52"/>
      <c r="W35" s="52"/>
      <c r="X35" s="52"/>
      <c r="Y35" s="52"/>
    </row>
    <row r="36" spans="1:25" s="53" customFormat="1" ht="18" x14ac:dyDescent="0.25">
      <c r="A36" s="40"/>
      <c r="B36" s="54" t="s">
        <v>62</v>
      </c>
      <c r="C36" s="136" t="s">
        <v>65</v>
      </c>
      <c r="D36" s="325" t="s">
        <v>66</v>
      </c>
      <c r="E36" s="190" t="s">
        <v>38</v>
      </c>
      <c r="F36" s="190" t="s">
        <v>39</v>
      </c>
      <c r="G36" s="585">
        <f>'[1]FFIN2 Abril 2018'!$G$26</f>
        <v>27934402.890000001</v>
      </c>
      <c r="H36" s="141">
        <f t="shared" si="3"/>
        <v>2.6860741958571008E-2</v>
      </c>
      <c r="I36" s="363">
        <f>'[1]FFIN2 Abril 2018'!$I$26</f>
        <v>3.8999999999999998E-3</v>
      </c>
      <c r="J36" s="111"/>
      <c r="K36" s="440"/>
      <c r="L36" s="127" t="s">
        <v>53</v>
      </c>
      <c r="M36" s="430">
        <f>'[1]FFIN2 Abril 2018'!$M$26</f>
        <v>563080501.40999997</v>
      </c>
      <c r="N36" s="128">
        <f t="shared" si="4"/>
        <v>4.9609963087071836E-2</v>
      </c>
      <c r="O36" s="826"/>
      <c r="P36" s="812"/>
      <c r="Q36" s="791"/>
      <c r="R36" s="791"/>
      <c r="S36" s="822"/>
      <c r="T36" s="52"/>
      <c r="U36" s="52"/>
      <c r="V36" s="52"/>
      <c r="W36" s="52"/>
      <c r="X36" s="52"/>
      <c r="Y36" s="52"/>
    </row>
    <row r="37" spans="1:25" s="53" customFormat="1" ht="18" x14ac:dyDescent="0.25">
      <c r="A37" s="40"/>
      <c r="B37" s="54" t="s">
        <v>198</v>
      </c>
      <c r="C37" s="136" t="s">
        <v>65</v>
      </c>
      <c r="D37" s="137" t="s">
        <v>66</v>
      </c>
      <c r="E37" s="109" t="s">
        <v>38</v>
      </c>
      <c r="F37" s="109" t="s">
        <v>39</v>
      </c>
      <c r="G37" s="357">
        <f>'[2]FFPREV Abril 2018'!$G$20</f>
        <v>8809654.5999999996</v>
      </c>
      <c r="H37" s="141">
        <f t="shared" si="3"/>
        <v>8.4710548454017109E-3</v>
      </c>
      <c r="I37" s="376">
        <f>'[2]FFPREV Abril 2018'!$I$20</f>
        <v>3.8999999999999998E-3</v>
      </c>
      <c r="J37" s="111"/>
      <c r="K37" s="406"/>
      <c r="L37" s="407" t="s">
        <v>53</v>
      </c>
      <c r="M37" s="431">
        <f>'[2]FFPREV Abril 2018'!$M$20</f>
        <v>563080501.40999997</v>
      </c>
      <c r="N37" s="378">
        <f t="shared" si="4"/>
        <v>1.5645462021753369E-2</v>
      </c>
      <c r="O37" s="826"/>
      <c r="P37" s="812"/>
      <c r="Q37" s="791"/>
      <c r="R37" s="791"/>
      <c r="S37" s="822"/>
      <c r="T37" s="52"/>
      <c r="U37" s="52"/>
      <c r="V37" s="52"/>
      <c r="W37" s="52"/>
      <c r="X37" s="52"/>
      <c r="Y37" s="52"/>
    </row>
    <row r="38" spans="1:25" s="53" customFormat="1" ht="18.75" thickBot="1" x14ac:dyDescent="0.3">
      <c r="A38" s="40"/>
      <c r="B38" s="107" t="s">
        <v>62</v>
      </c>
      <c r="C38" s="136" t="s">
        <v>63</v>
      </c>
      <c r="D38" s="137" t="s">
        <v>64</v>
      </c>
      <c r="E38" s="115" t="s">
        <v>38</v>
      </c>
      <c r="F38" s="115" t="s">
        <v>39</v>
      </c>
      <c r="G38" s="364">
        <f>'[1]FFIN2 Abril 2018'!$G$25</f>
        <v>48330287.590000004</v>
      </c>
      <c r="H38" s="141">
        <f t="shared" si="3"/>
        <v>4.6472709255698602E-2</v>
      </c>
      <c r="I38" s="415">
        <f>'[1]FFIN2 Abril 2018'!$I$25</f>
        <v>-1.8E-3</v>
      </c>
      <c r="J38" s="200"/>
      <c r="K38" s="439"/>
      <c r="L38" s="127" t="s">
        <v>40</v>
      </c>
      <c r="M38" s="428">
        <f>'[1]FFIN2 Abril 2018'!$M$25</f>
        <v>1387194609.97</v>
      </c>
      <c r="N38" s="119">
        <f t="shared" si="4"/>
        <v>3.4840308088455743E-2</v>
      </c>
      <c r="O38" s="827"/>
      <c r="P38" s="824"/>
      <c r="Q38" s="792"/>
      <c r="R38" s="792"/>
      <c r="S38" s="823"/>
      <c r="T38" s="52"/>
      <c r="U38" s="52"/>
      <c r="V38" s="52"/>
      <c r="W38" s="52"/>
      <c r="X38" s="52"/>
      <c r="Y38" s="52"/>
    </row>
    <row r="39" spans="1:25" s="1" customFormat="1" ht="23.25" thickBot="1" x14ac:dyDescent="0.3">
      <c r="A39" s="8"/>
      <c r="B39" s="343" t="s">
        <v>172</v>
      </c>
      <c r="C39" s="338"/>
      <c r="D39" s="344"/>
      <c r="E39" s="340"/>
      <c r="F39" s="340"/>
      <c r="G39" s="609">
        <v>0</v>
      </c>
      <c r="H39" s="328"/>
      <c r="I39" s="43"/>
      <c r="J39" s="43"/>
      <c r="K39" s="329"/>
      <c r="L39" s="654"/>
      <c r="M39" s="330"/>
      <c r="N39" s="43"/>
      <c r="O39" s="316" t="s">
        <v>167</v>
      </c>
      <c r="P39" s="322">
        <v>0</v>
      </c>
      <c r="Q39" s="173">
        <v>0.6</v>
      </c>
      <c r="R39" s="650">
        <v>0</v>
      </c>
      <c r="S39" s="570" t="s">
        <v>299</v>
      </c>
      <c r="T39" s="139"/>
      <c r="U39" s="64"/>
      <c r="V39" s="63"/>
      <c r="W39" s="63"/>
      <c r="X39" s="63"/>
      <c r="Y39" s="65"/>
    </row>
    <row r="40" spans="1:25" s="53" customFormat="1" ht="18.75" thickBot="1" x14ac:dyDescent="0.25">
      <c r="A40" s="40"/>
      <c r="B40" s="334" t="s">
        <v>170</v>
      </c>
      <c r="C40" s="335"/>
      <c r="D40" s="336"/>
      <c r="E40" s="336"/>
      <c r="F40" s="336"/>
      <c r="G40" s="587">
        <f>SUM(G41:G50)</f>
        <v>73722660.300000012</v>
      </c>
      <c r="H40" s="215">
        <f t="shared" ref="H40:H50" si="5">G40/$G$92</f>
        <v>7.0889124160465902E-2</v>
      </c>
      <c r="I40" s="327"/>
      <c r="J40" s="92"/>
      <c r="K40" s="162"/>
      <c r="L40" s="44"/>
      <c r="M40" s="130"/>
      <c r="N40" s="131"/>
      <c r="O40" s="42"/>
      <c r="P40" s="647"/>
      <c r="Q40" s="647"/>
      <c r="R40" s="647"/>
      <c r="S40" s="140"/>
      <c r="T40" s="52"/>
      <c r="U40" s="52"/>
      <c r="V40" s="52"/>
      <c r="W40" s="52"/>
      <c r="X40" s="52"/>
      <c r="Y40" s="52"/>
    </row>
    <row r="41" spans="1:25" s="1" customFormat="1" ht="18" x14ac:dyDescent="0.25">
      <c r="A41" s="8">
        <v>18</v>
      </c>
      <c r="B41" s="54" t="s">
        <v>67</v>
      </c>
      <c r="C41" s="136" t="s">
        <v>68</v>
      </c>
      <c r="D41" s="68" t="s">
        <v>69</v>
      </c>
      <c r="E41" s="124" t="s">
        <v>70</v>
      </c>
      <c r="F41" s="124" t="s">
        <v>70</v>
      </c>
      <c r="G41" s="386"/>
      <c r="H41" s="141">
        <f t="shared" si="5"/>
        <v>0</v>
      </c>
      <c r="I41" s="432">
        <f>'[1]FFIN2 Abril 2018'!$I$29</f>
        <v>0</v>
      </c>
      <c r="J41" s="143"/>
      <c r="K41" s="144"/>
      <c r="L41" s="145" t="s">
        <v>71</v>
      </c>
      <c r="M41" s="404">
        <f>'[1]FFIN2 Abril 2018'!$M$29</f>
        <v>6893035004.8800001</v>
      </c>
      <c r="N41" s="119">
        <f t="shared" ref="N41:N50" si="6">G41/M41</f>
        <v>0</v>
      </c>
      <c r="O41" s="781" t="s">
        <v>60</v>
      </c>
      <c r="P41" s="796">
        <f>SUM(G41:G50)/G92</f>
        <v>7.0889124160465902E-2</v>
      </c>
      <c r="Q41" s="775">
        <v>0.4</v>
      </c>
      <c r="R41" s="790">
        <v>0.3</v>
      </c>
      <c r="S41" s="793" t="s">
        <v>300</v>
      </c>
      <c r="T41" s="64"/>
      <c r="U41" s="64"/>
      <c r="V41" s="63"/>
      <c r="W41" s="64"/>
      <c r="X41" s="64"/>
      <c r="Y41" s="90"/>
    </row>
    <row r="42" spans="1:25" s="1" customFormat="1" ht="18" x14ac:dyDescent="0.25">
      <c r="A42" s="8">
        <v>19</v>
      </c>
      <c r="B42" s="54" t="s">
        <v>72</v>
      </c>
      <c r="C42" s="136" t="s">
        <v>68</v>
      </c>
      <c r="D42" s="68" t="s">
        <v>73</v>
      </c>
      <c r="E42" s="124" t="s">
        <v>70</v>
      </c>
      <c r="F42" s="124" t="s">
        <v>74</v>
      </c>
      <c r="G42" s="386">
        <f>'[1]FFIN2 Abril 2018'!$G$30</f>
        <v>342739.18</v>
      </c>
      <c r="H42" s="141">
        <f t="shared" si="5"/>
        <v>3.2956597315949362E-4</v>
      </c>
      <c r="I42" s="415">
        <f>'[1]FFIN2 Abril 2018'!$I$30</f>
        <v>4.4000000000000003E-3</v>
      </c>
      <c r="J42" s="111"/>
      <c r="K42" s="126"/>
      <c r="L42" s="127" t="s">
        <v>71</v>
      </c>
      <c r="M42" s="404">
        <f>'[1]FFIN2 Abril 2018'!$M$30</f>
        <v>8272359631.5</v>
      </c>
      <c r="N42" s="119">
        <f t="shared" si="6"/>
        <v>4.1431852006880436E-5</v>
      </c>
      <c r="O42" s="782"/>
      <c r="P42" s="797"/>
      <c r="Q42" s="776"/>
      <c r="R42" s="791"/>
      <c r="S42" s="794"/>
      <c r="T42" s="64"/>
      <c r="U42" s="64"/>
      <c r="V42" s="63"/>
      <c r="W42" s="64"/>
      <c r="X42" s="64"/>
      <c r="Y42" s="90"/>
    </row>
    <row r="43" spans="1:25" s="1" customFormat="1" ht="18" x14ac:dyDescent="0.25">
      <c r="A43" s="8">
        <v>20</v>
      </c>
      <c r="B43" s="54" t="s">
        <v>72</v>
      </c>
      <c r="C43" s="136" t="s">
        <v>68</v>
      </c>
      <c r="D43" s="68" t="s">
        <v>69</v>
      </c>
      <c r="E43" s="124" t="s">
        <v>70</v>
      </c>
      <c r="F43" s="124" t="s">
        <v>70</v>
      </c>
      <c r="G43" s="386">
        <f>'[1]FFIN2 Abril 2018'!$G$31</f>
        <v>204793.1</v>
      </c>
      <c r="H43" s="141">
        <f t="shared" si="5"/>
        <v>1.9692186139282208E-4</v>
      </c>
      <c r="I43" s="415">
        <f>'[1]FFIN2 Abril 2018'!$I$31</f>
        <v>5.1000000000000004E-3</v>
      </c>
      <c r="J43" s="146"/>
      <c r="K43" s="147"/>
      <c r="L43" s="127" t="s">
        <v>71</v>
      </c>
      <c r="M43" s="404">
        <f>'[1]FFIN2 Abril 2018'!$M$31</f>
        <v>6915756068.6400003</v>
      </c>
      <c r="N43" s="119">
        <f t="shared" si="6"/>
        <v>2.9612539535431164E-5</v>
      </c>
      <c r="O43" s="782"/>
      <c r="P43" s="797"/>
      <c r="Q43" s="776"/>
      <c r="R43" s="791"/>
      <c r="S43" s="794"/>
      <c r="T43" s="64"/>
      <c r="U43" s="64"/>
      <c r="V43" s="63"/>
      <c r="W43" s="64"/>
      <c r="X43" s="64"/>
      <c r="Y43" s="90"/>
    </row>
    <row r="44" spans="1:25" s="1" customFormat="1" ht="18" x14ac:dyDescent="0.25">
      <c r="A44" s="8"/>
      <c r="B44" s="54" t="s">
        <v>215</v>
      </c>
      <c r="C44" s="136" t="s">
        <v>68</v>
      </c>
      <c r="D44" s="68" t="s">
        <v>69</v>
      </c>
      <c r="E44" s="124" t="s">
        <v>70</v>
      </c>
      <c r="F44" s="124" t="s">
        <v>70</v>
      </c>
      <c r="G44" s="386">
        <f>'[2]FFPREV Abril 2018'!$G$23</f>
        <v>5094.4799999999996</v>
      </c>
      <c r="H44" s="141">
        <f t="shared" si="5"/>
        <v>4.898673267939711E-6</v>
      </c>
      <c r="I44" s="363">
        <f>'[2]FFPREV Abril 2018'!$I$23</f>
        <v>5.1000000000000004E-3</v>
      </c>
      <c r="J44" s="111"/>
      <c r="K44" s="403"/>
      <c r="L44" s="381" t="s">
        <v>71</v>
      </c>
      <c r="M44" s="404">
        <f>'[2]FFPREV Abril 2018'!$M$23</f>
        <v>6915756068.6400003</v>
      </c>
      <c r="N44" s="382">
        <f t="shared" si="6"/>
        <v>7.3664830705948265E-7</v>
      </c>
      <c r="O44" s="782"/>
      <c r="P44" s="797"/>
      <c r="Q44" s="776"/>
      <c r="R44" s="791"/>
      <c r="S44" s="794"/>
      <c r="T44" s="64"/>
      <c r="U44" s="64"/>
      <c r="V44" s="63"/>
      <c r="W44" s="64"/>
      <c r="X44" s="64"/>
      <c r="Y44" s="90"/>
    </row>
    <row r="45" spans="1:25" s="1" customFormat="1" ht="18.75" thickBot="1" x14ac:dyDescent="0.3">
      <c r="A45" s="8">
        <v>21</v>
      </c>
      <c r="B45" s="148" t="s">
        <v>75</v>
      </c>
      <c r="C45" s="149"/>
      <c r="D45" s="150" t="s">
        <v>76</v>
      </c>
      <c r="E45" s="124" t="s">
        <v>38</v>
      </c>
      <c r="F45" s="115" t="s">
        <v>39</v>
      </c>
      <c r="G45" s="384">
        <f>'[1]FFIN2 Abril 2018'!$G$32</f>
        <v>16271043.140000001</v>
      </c>
      <c r="H45" s="141">
        <f t="shared" si="5"/>
        <v>1.564566434089678E-2</v>
      </c>
      <c r="I45" s="358">
        <f>'[1]FFIN2 Abril 2018'!$I$32</f>
        <v>3.5999999999999999E-3</v>
      </c>
      <c r="J45" s="151"/>
      <c r="K45" s="152"/>
      <c r="L45" s="113" t="s">
        <v>71</v>
      </c>
      <c r="M45" s="434">
        <f>'[1]FFIN2 Abril 2018'!$M$32</f>
        <v>212048137.00999999</v>
      </c>
      <c r="N45" s="119">
        <f t="shared" si="6"/>
        <v>7.6732780440474574E-2</v>
      </c>
      <c r="O45" s="782"/>
      <c r="P45" s="797"/>
      <c r="Q45" s="776"/>
      <c r="R45" s="791"/>
      <c r="S45" s="794"/>
      <c r="T45" s="64"/>
      <c r="U45" s="64"/>
      <c r="V45" s="63"/>
      <c r="W45" s="64"/>
      <c r="X45" s="64"/>
      <c r="Y45" s="90"/>
    </row>
    <row r="46" spans="1:25" s="1" customFormat="1" ht="18.75" thickBot="1" x14ac:dyDescent="0.3">
      <c r="A46" s="8">
        <v>22</v>
      </c>
      <c r="B46" s="54" t="s">
        <v>55</v>
      </c>
      <c r="C46" s="98" t="s">
        <v>36</v>
      </c>
      <c r="D46" s="68" t="s">
        <v>79</v>
      </c>
      <c r="E46" s="124" t="s">
        <v>38</v>
      </c>
      <c r="F46" s="124" t="s">
        <v>39</v>
      </c>
      <c r="G46" s="386">
        <f>'[1]FFIN2 Abril 2018'!$G$34</f>
        <v>26876924.34</v>
      </c>
      <c r="H46" s="141">
        <f t="shared" si="5"/>
        <v>2.5843907678270633E-2</v>
      </c>
      <c r="I46" s="358">
        <f>'[1]FFIN2 Abril 2018'!$I$25</f>
        <v>-1.8E-3</v>
      </c>
      <c r="J46" s="125"/>
      <c r="K46" s="126"/>
      <c r="L46" s="127" t="s">
        <v>80</v>
      </c>
      <c r="M46" s="435">
        <f>'[1]FFIN2 Abril 2018'!$M$34</f>
        <v>1496208831.23</v>
      </c>
      <c r="N46" s="119">
        <f t="shared" si="6"/>
        <v>1.7963350956767897E-2</v>
      </c>
      <c r="O46" s="782"/>
      <c r="P46" s="797"/>
      <c r="Q46" s="776"/>
      <c r="R46" s="791"/>
      <c r="S46" s="794"/>
      <c r="T46" s="64"/>
      <c r="U46" s="64"/>
      <c r="V46" s="63"/>
      <c r="W46" s="64"/>
      <c r="X46" s="64"/>
      <c r="Y46" s="90"/>
    </row>
    <row r="47" spans="1:25" s="1" customFormat="1" ht="18.75" thickBot="1" x14ac:dyDescent="0.3">
      <c r="A47" s="8"/>
      <c r="B47" s="54" t="s">
        <v>202</v>
      </c>
      <c r="C47" s="98" t="s">
        <v>36</v>
      </c>
      <c r="D47" s="68" t="s">
        <v>79</v>
      </c>
      <c r="E47" s="124" t="s">
        <v>38</v>
      </c>
      <c r="F47" s="124" t="s">
        <v>39</v>
      </c>
      <c r="G47" s="384">
        <f>'[2]FFPREV Abril 2018'!$G$24</f>
        <v>8599665.9600000009</v>
      </c>
      <c r="H47" s="141">
        <f t="shared" si="5"/>
        <v>8.269137134989852E-3</v>
      </c>
      <c r="I47" s="358">
        <f>'[1]FFIN2 Abril 2018'!$I$34</f>
        <v>3.3E-3</v>
      </c>
      <c r="J47" s="125"/>
      <c r="K47" s="380"/>
      <c r="L47" s="381" t="s">
        <v>80</v>
      </c>
      <c r="M47" s="436">
        <f>'[2]FFPREV Abril 2018'!$M$24</f>
        <v>1496208831.23</v>
      </c>
      <c r="N47" s="382">
        <f t="shared" si="6"/>
        <v>5.7476374824832486E-3</v>
      </c>
      <c r="O47" s="782"/>
      <c r="P47" s="797"/>
      <c r="Q47" s="776"/>
      <c r="R47" s="791"/>
      <c r="S47" s="794"/>
      <c r="T47" s="64"/>
      <c r="U47" s="64"/>
      <c r="V47" s="63"/>
      <c r="W47" s="64"/>
      <c r="X47" s="64"/>
      <c r="Y47" s="90"/>
    </row>
    <row r="48" spans="1:25" s="1" customFormat="1" ht="18.75" thickBot="1" x14ac:dyDescent="0.3">
      <c r="A48" s="8"/>
      <c r="B48" s="54" t="s">
        <v>55</v>
      </c>
      <c r="C48" s="98" t="s">
        <v>77</v>
      </c>
      <c r="D48" s="68" t="s">
        <v>78</v>
      </c>
      <c r="E48" s="124" t="s">
        <v>38</v>
      </c>
      <c r="F48" s="124" t="s">
        <v>38</v>
      </c>
      <c r="G48" s="386">
        <f>'[1]FFIN2 Abril 2018'!$G$33</f>
        <v>6407622.5300000003</v>
      </c>
      <c r="H48" s="141">
        <f t="shared" si="5"/>
        <v>6.1613450634332104E-3</v>
      </c>
      <c r="I48" s="358">
        <f>'[1]FFIN2 Abril 2018'!$I$33</f>
        <v>5.1000000000000004E-3</v>
      </c>
      <c r="J48" s="125"/>
      <c r="K48" s="126"/>
      <c r="L48" s="113" t="s">
        <v>71</v>
      </c>
      <c r="M48" s="435">
        <f>'[1]FFIN2 Abril 2018'!$M$33</f>
        <v>10198016708.379999</v>
      </c>
      <c r="N48" s="119">
        <f t="shared" si="6"/>
        <v>6.2832045810776865E-4</v>
      </c>
      <c r="O48" s="782"/>
      <c r="P48" s="797"/>
      <c r="Q48" s="776"/>
      <c r="R48" s="791"/>
      <c r="S48" s="794"/>
      <c r="T48" s="64"/>
      <c r="U48" s="64"/>
      <c r="V48" s="63"/>
      <c r="W48" s="64"/>
      <c r="X48" s="64"/>
      <c r="Y48" s="90"/>
    </row>
    <row r="49" spans="1:25" s="1" customFormat="1" ht="18" x14ac:dyDescent="0.25">
      <c r="A49" s="8">
        <v>23</v>
      </c>
      <c r="B49" s="54" t="s">
        <v>203</v>
      </c>
      <c r="C49" s="98" t="s">
        <v>204</v>
      </c>
      <c r="D49" s="68" t="s">
        <v>78</v>
      </c>
      <c r="E49" s="124" t="s">
        <v>38</v>
      </c>
      <c r="F49" s="124" t="s">
        <v>38</v>
      </c>
      <c r="G49" s="386">
        <f>'[2]FFPREV Abril 2018'!$G$25</f>
        <v>1076788.0900000001</v>
      </c>
      <c r="H49" s="141">
        <f t="shared" si="5"/>
        <v>1.0354016566399046E-3</v>
      </c>
      <c r="I49" s="358">
        <f>'[2]FFPREV Abril 2018'!$I$25</f>
        <v>5.1000000000000004E-3</v>
      </c>
      <c r="J49" s="125"/>
      <c r="K49" s="380"/>
      <c r="L49" s="387" t="s">
        <v>71</v>
      </c>
      <c r="M49" s="435">
        <f>'[2]FFPREV Abril 2018'!$M$25</f>
        <v>10198016708.379999</v>
      </c>
      <c r="N49" s="382">
        <f t="shared" si="6"/>
        <v>1.0558799037024257E-4</v>
      </c>
      <c r="O49" s="782"/>
      <c r="P49" s="797"/>
      <c r="Q49" s="776"/>
      <c r="R49" s="791"/>
      <c r="S49" s="794"/>
      <c r="T49" s="64"/>
      <c r="U49" s="64"/>
      <c r="V49" s="63"/>
      <c r="W49" s="64"/>
      <c r="X49" s="64"/>
      <c r="Y49" s="90"/>
    </row>
    <row r="50" spans="1:25" s="1" customFormat="1" ht="18.75" thickBot="1" x14ac:dyDescent="0.3">
      <c r="A50" s="8">
        <v>24</v>
      </c>
      <c r="B50" s="148" t="s">
        <v>62</v>
      </c>
      <c r="C50" s="154"/>
      <c r="D50" s="332" t="s">
        <v>81</v>
      </c>
      <c r="E50" s="155" t="s">
        <v>38</v>
      </c>
      <c r="F50" s="155" t="s">
        <v>38</v>
      </c>
      <c r="G50" s="385">
        <f>'[1]FFIN2 Abril 2018'!$G$35</f>
        <v>13937989.48</v>
      </c>
      <c r="H50" s="141">
        <f t="shared" si="5"/>
        <v>1.3402281778415251E-2</v>
      </c>
      <c r="I50" s="433">
        <f>'[1]FFIN2 Abril 2018'!$I$35</f>
        <v>5.1000000000000004E-3</v>
      </c>
      <c r="J50" s="157"/>
      <c r="K50" s="158"/>
      <c r="L50" s="159" t="s">
        <v>71</v>
      </c>
      <c r="M50" s="437">
        <f>'[1]FFIN2 Abril 2018'!$M$35</f>
        <v>8876380016.0200005</v>
      </c>
      <c r="N50" s="161">
        <f t="shared" si="6"/>
        <v>1.5702335247978184E-3</v>
      </c>
      <c r="O50" s="783"/>
      <c r="P50" s="798"/>
      <c r="Q50" s="777"/>
      <c r="R50" s="792"/>
      <c r="S50" s="795"/>
      <c r="T50" s="64"/>
      <c r="U50" s="64"/>
      <c r="V50" s="63"/>
      <c r="W50" s="64"/>
      <c r="X50" s="64"/>
      <c r="Y50" s="90"/>
    </row>
    <row r="51" spans="1:25" s="1" customFormat="1" ht="23.25" thickBot="1" x14ac:dyDescent="0.3">
      <c r="A51" s="8"/>
      <c r="B51" s="343" t="s">
        <v>171</v>
      </c>
      <c r="C51" s="338"/>
      <c r="D51" s="341"/>
      <c r="E51" s="345"/>
      <c r="F51" s="345"/>
      <c r="G51" s="609">
        <v>0</v>
      </c>
      <c r="H51" s="328"/>
      <c r="I51" s="43"/>
      <c r="J51" s="215"/>
      <c r="K51" s="158"/>
      <c r="L51" s="331"/>
      <c r="M51" s="160"/>
      <c r="N51" s="187"/>
      <c r="O51" s="323" t="s">
        <v>60</v>
      </c>
      <c r="P51" s="322">
        <v>0</v>
      </c>
      <c r="Q51" s="172">
        <v>0.4</v>
      </c>
      <c r="R51" s="173">
        <v>0</v>
      </c>
      <c r="S51" s="569" t="s">
        <v>301</v>
      </c>
      <c r="T51" s="64"/>
      <c r="U51" s="64"/>
      <c r="V51" s="63"/>
      <c r="W51" s="64"/>
      <c r="X51" s="64"/>
      <c r="Y51" s="90"/>
    </row>
    <row r="52" spans="1:25" s="1" customFormat="1" ht="18.75" thickBot="1" x14ac:dyDescent="0.3">
      <c r="A52" s="8"/>
      <c r="B52" s="343" t="s">
        <v>173</v>
      </c>
      <c r="C52" s="338"/>
      <c r="D52" s="339"/>
      <c r="E52" s="345"/>
      <c r="F52" s="345"/>
      <c r="G52" s="609">
        <v>0</v>
      </c>
      <c r="H52" s="215"/>
      <c r="I52" s="43"/>
      <c r="J52" s="215"/>
      <c r="K52" s="158"/>
      <c r="L52" s="331"/>
      <c r="M52" s="160"/>
      <c r="N52" s="156"/>
      <c r="O52" s="410" t="s">
        <v>60</v>
      </c>
      <c r="P52" s="322">
        <v>0</v>
      </c>
      <c r="Q52" s="173">
        <v>0.2</v>
      </c>
      <c r="R52" s="96">
        <v>0</v>
      </c>
      <c r="S52" s="174" t="s">
        <v>174</v>
      </c>
      <c r="T52" s="64"/>
      <c r="U52" s="64"/>
      <c r="V52" s="63"/>
      <c r="W52" s="64"/>
      <c r="X52" s="64"/>
      <c r="Y52" s="90"/>
    </row>
    <row r="53" spans="1:25" s="1" customFormat="1" ht="23.25" thickBot="1" x14ac:dyDescent="0.3">
      <c r="A53" s="8"/>
      <c r="B53" s="343" t="s">
        <v>175</v>
      </c>
      <c r="C53" s="338"/>
      <c r="D53" s="339"/>
      <c r="E53" s="345"/>
      <c r="F53" s="345"/>
      <c r="G53" s="611">
        <v>0</v>
      </c>
      <c r="H53" s="215"/>
      <c r="I53" s="43"/>
      <c r="J53" s="215"/>
      <c r="K53" s="158"/>
      <c r="L53" s="331"/>
      <c r="M53" s="160"/>
      <c r="N53" s="156"/>
      <c r="O53" s="311" t="s">
        <v>60</v>
      </c>
      <c r="P53" s="322">
        <v>0</v>
      </c>
      <c r="Q53" s="172">
        <v>0.15</v>
      </c>
      <c r="R53" s="173">
        <v>0</v>
      </c>
      <c r="S53" s="569" t="s">
        <v>302</v>
      </c>
      <c r="T53" s="64"/>
      <c r="U53" s="64"/>
      <c r="V53" s="63"/>
      <c r="W53" s="64"/>
      <c r="X53" s="64"/>
      <c r="Y53" s="90"/>
    </row>
    <row r="54" spans="1:25" s="1" customFormat="1" ht="23.25" thickBot="1" x14ac:dyDescent="0.3">
      <c r="A54" s="8"/>
      <c r="B54" s="343" t="s">
        <v>176</v>
      </c>
      <c r="C54" s="338"/>
      <c r="D54" s="339"/>
      <c r="E54" s="345"/>
      <c r="F54" s="345"/>
      <c r="G54" s="611">
        <v>0</v>
      </c>
      <c r="H54" s="215"/>
      <c r="I54" s="43"/>
      <c r="J54" s="215"/>
      <c r="K54" s="158"/>
      <c r="L54" s="331"/>
      <c r="M54" s="160"/>
      <c r="N54" s="156"/>
      <c r="O54" s="311" t="s">
        <v>60</v>
      </c>
      <c r="P54" s="571">
        <v>0</v>
      </c>
      <c r="Q54" s="95">
        <v>0.15</v>
      </c>
      <c r="R54" s="173">
        <v>0</v>
      </c>
      <c r="S54" s="569" t="s">
        <v>303</v>
      </c>
      <c r="T54" s="64"/>
      <c r="U54" s="64"/>
      <c r="V54" s="63"/>
      <c r="W54" s="64"/>
      <c r="X54" s="64"/>
      <c r="Y54" s="90"/>
    </row>
    <row r="55" spans="1:25" s="53" customFormat="1" ht="18.75" thickBot="1" x14ac:dyDescent="0.25">
      <c r="A55" s="40"/>
      <c r="B55" s="334" t="s">
        <v>177</v>
      </c>
      <c r="C55" s="335"/>
      <c r="D55" s="336"/>
      <c r="E55" s="336"/>
      <c r="F55" s="336"/>
      <c r="G55" s="582">
        <f>SUM(G56:G58)</f>
        <v>7139054.1899999995</v>
      </c>
      <c r="H55" s="43">
        <f>G55/$G$92</f>
        <v>6.8646640911194058E-3</v>
      </c>
      <c r="I55" s="91"/>
      <c r="J55" s="44"/>
      <c r="K55" s="44"/>
      <c r="L55" s="162"/>
      <c r="M55" s="163"/>
      <c r="N55" s="164"/>
      <c r="O55" s="165"/>
      <c r="P55" s="166"/>
      <c r="Q55" s="647"/>
      <c r="R55" s="648"/>
      <c r="S55" s="133"/>
      <c r="T55" s="52"/>
      <c r="U55" s="52"/>
      <c r="V55" s="52"/>
      <c r="W55" s="52"/>
      <c r="X55" s="52"/>
      <c r="Y55" s="52"/>
    </row>
    <row r="56" spans="1:25" s="1" customFormat="1" ht="18.75" thickBot="1" x14ac:dyDescent="0.3">
      <c r="A56" s="8">
        <v>25</v>
      </c>
      <c r="B56" s="66" t="s">
        <v>82</v>
      </c>
      <c r="C56" s="108"/>
      <c r="D56" s="134" t="s">
        <v>83</v>
      </c>
      <c r="E56" s="438" t="s">
        <v>84</v>
      </c>
      <c r="F56" s="438" t="s">
        <v>85</v>
      </c>
      <c r="G56" s="588">
        <f>'[1]FFIN2 Abril 2018'!$G$41</f>
        <v>7053355.8499999996</v>
      </c>
      <c r="H56" s="191">
        <f>G56/$G$92</f>
        <v>6.7822595734326526E-3</v>
      </c>
      <c r="I56" s="426">
        <f>'[1]FFIN2 Abril 2018'!$I$41</f>
        <v>6.1000000000000004E-3</v>
      </c>
      <c r="J56" s="200"/>
      <c r="K56" s="439"/>
      <c r="L56" s="113" t="s">
        <v>71</v>
      </c>
      <c r="M56" s="444">
        <f>'[1]FFIN2 Abril 2018'!$M$41</f>
        <v>398689938.01999998</v>
      </c>
      <c r="N56" s="441">
        <f>G56/M56</f>
        <v>1.7691331476858523E-2</v>
      </c>
      <c r="O56" s="799" t="s">
        <v>60</v>
      </c>
      <c r="P56" s="796">
        <f>SUM(G56:G58)/G92</f>
        <v>6.8646640911194058E-3</v>
      </c>
      <c r="Q56" s="790">
        <v>0.05</v>
      </c>
      <c r="R56" s="778">
        <v>0.02</v>
      </c>
      <c r="S56" s="793" t="s">
        <v>304</v>
      </c>
      <c r="T56" s="64"/>
      <c r="U56" s="64"/>
      <c r="V56" s="64"/>
      <c r="W56" s="64"/>
      <c r="X56" s="63"/>
      <c r="Y56" s="65"/>
    </row>
    <row r="57" spans="1:25" s="1" customFormat="1" ht="15.75" customHeight="1" x14ac:dyDescent="0.25">
      <c r="A57" s="8">
        <v>26</v>
      </c>
      <c r="B57" s="54" t="s">
        <v>86</v>
      </c>
      <c r="C57" s="98" t="s">
        <v>87</v>
      </c>
      <c r="D57" s="56" t="s">
        <v>88</v>
      </c>
      <c r="E57" s="109" t="s">
        <v>89</v>
      </c>
      <c r="F57" s="109" t="s">
        <v>89</v>
      </c>
      <c r="G57" s="584">
        <f>'[1]FFIN2 Abril 2018'!$G$42</f>
        <v>38405.42</v>
      </c>
      <c r="H57" s="191">
        <f>G57/$G$92</f>
        <v>3.6929304717654631E-5</v>
      </c>
      <c r="I57" s="442">
        <f>'[1]FFIN2 Abril 2018'!$I$42</f>
        <v>-2.2100000000000002E-2</v>
      </c>
      <c r="J57" s="111"/>
      <c r="K57" s="440"/>
      <c r="L57" s="118" t="s">
        <v>71</v>
      </c>
      <c r="M57" s="445">
        <f>'[1]FFIN2 Abril 2018'!$M$42</f>
        <v>896128.08</v>
      </c>
      <c r="N57" s="119">
        <f>G57/M57</f>
        <v>4.2857065699804874E-2</v>
      </c>
      <c r="O57" s="800"/>
      <c r="P57" s="797"/>
      <c r="Q57" s="791"/>
      <c r="R57" s="779"/>
      <c r="S57" s="794"/>
      <c r="T57" s="64"/>
      <c r="U57" s="64"/>
      <c r="V57" s="63"/>
      <c r="W57" s="64"/>
      <c r="X57" s="63"/>
      <c r="Y57" s="65"/>
    </row>
    <row r="58" spans="1:25" s="1" customFormat="1" ht="18.75" thickBot="1" x14ac:dyDescent="0.3">
      <c r="A58" s="8">
        <v>27</v>
      </c>
      <c r="B58" s="167" t="s">
        <v>90</v>
      </c>
      <c r="C58" s="108"/>
      <c r="D58" s="87" t="s">
        <v>91</v>
      </c>
      <c r="E58" s="168" t="s">
        <v>89</v>
      </c>
      <c r="F58" s="168" t="s">
        <v>89</v>
      </c>
      <c r="G58" s="589">
        <f>'[1]FFIN2 Abril 2018'!$G$43</f>
        <v>47292.92</v>
      </c>
      <c r="H58" s="191">
        <f>G58/$G$92</f>
        <v>4.5475212969098188E-5</v>
      </c>
      <c r="I58" s="443">
        <f>'[1]FFIN2 Abril 2018'!$I$43</f>
        <v>-0.19159999999999999</v>
      </c>
      <c r="J58" s="138"/>
      <c r="K58" s="175"/>
      <c r="L58" s="159" t="s">
        <v>71</v>
      </c>
      <c r="M58" s="446">
        <f>'[1]FFIN2 Abril 2018'!$M$43</f>
        <v>950602.02</v>
      </c>
      <c r="N58" s="161">
        <f>G58/M58</f>
        <v>4.9750493902800667E-2</v>
      </c>
      <c r="O58" s="801"/>
      <c r="P58" s="798"/>
      <c r="Q58" s="792"/>
      <c r="R58" s="780"/>
      <c r="S58" s="795"/>
      <c r="T58" s="64"/>
      <c r="U58" s="64"/>
      <c r="V58" s="63"/>
      <c r="W58" s="64"/>
      <c r="X58" s="63"/>
      <c r="Y58" s="65"/>
    </row>
    <row r="59" spans="1:25" s="1" customFormat="1" ht="23.25" thickBot="1" x14ac:dyDescent="0.3">
      <c r="A59" s="8"/>
      <c r="B59" s="346" t="s">
        <v>178</v>
      </c>
      <c r="C59" s="338"/>
      <c r="D59" s="347"/>
      <c r="E59" s="345"/>
      <c r="F59" s="345"/>
      <c r="G59" s="625">
        <v>0</v>
      </c>
      <c r="H59" s="215"/>
      <c r="I59" s="333"/>
      <c r="J59" s="215"/>
      <c r="K59" s="158"/>
      <c r="L59" s="331"/>
      <c r="M59" s="160"/>
      <c r="N59" s="187"/>
      <c r="O59" s="327" t="s">
        <v>60</v>
      </c>
      <c r="P59" s="322">
        <v>0</v>
      </c>
      <c r="Q59" s="172">
        <v>0.05</v>
      </c>
      <c r="R59" s="173">
        <v>0.01</v>
      </c>
      <c r="S59" s="652" t="s">
        <v>305</v>
      </c>
      <c r="T59" s="64"/>
      <c r="U59" s="64"/>
      <c r="V59" s="63"/>
      <c r="W59" s="64"/>
      <c r="X59" s="63"/>
      <c r="Y59" s="65"/>
    </row>
    <row r="60" spans="1:25" s="1" customFormat="1" ht="23.25" thickBot="1" x14ac:dyDescent="0.3">
      <c r="A60" s="8"/>
      <c r="B60" s="346" t="s">
        <v>179</v>
      </c>
      <c r="C60" s="338"/>
      <c r="D60" s="347"/>
      <c r="E60" s="345"/>
      <c r="F60" s="345"/>
      <c r="G60" s="625">
        <v>0</v>
      </c>
      <c r="H60" s="215"/>
      <c r="I60" s="333"/>
      <c r="J60" s="215"/>
      <c r="K60" s="158"/>
      <c r="L60" s="331"/>
      <c r="M60" s="160"/>
      <c r="N60" s="215"/>
      <c r="O60" s="327" t="s">
        <v>60</v>
      </c>
      <c r="P60" s="322">
        <v>0</v>
      </c>
      <c r="Q60" s="172">
        <v>0.05</v>
      </c>
      <c r="R60" s="173">
        <v>0</v>
      </c>
      <c r="S60" s="652" t="s">
        <v>306</v>
      </c>
      <c r="T60" s="64"/>
      <c r="U60" s="64"/>
      <c r="V60" s="63"/>
      <c r="W60" s="64"/>
      <c r="X60" s="63"/>
      <c r="Y60" s="65"/>
    </row>
    <row r="61" spans="1:25" s="53" customFormat="1" ht="18.75" thickBot="1" x14ac:dyDescent="0.25">
      <c r="A61" s="40"/>
      <c r="B61" s="334" t="s">
        <v>180</v>
      </c>
      <c r="C61" s="335"/>
      <c r="D61" s="336"/>
      <c r="E61" s="336"/>
      <c r="F61" s="336"/>
      <c r="G61" s="582">
        <f>SUM(G62:G63)</f>
        <v>59777273.909999996</v>
      </c>
      <c r="H61" s="43">
        <f t="shared" ref="H61:H74" si="7">G61/$G$92</f>
        <v>5.7479729772857473E-2</v>
      </c>
      <c r="I61" s="91"/>
      <c r="J61" s="44"/>
      <c r="K61" s="44"/>
      <c r="L61" s="44"/>
      <c r="M61" s="130"/>
      <c r="N61" s="94"/>
      <c r="O61" s="42"/>
      <c r="P61" s="176">
        <f>SUM((G4+G15+G31+G40+G55)/G92)*100</f>
        <v>81.838012424039377</v>
      </c>
      <c r="Q61" s="49"/>
      <c r="R61" s="647"/>
      <c r="S61" s="140"/>
      <c r="T61" s="52"/>
      <c r="U61" s="52"/>
      <c r="V61" s="52"/>
      <c r="W61" s="52"/>
      <c r="X61" s="52"/>
      <c r="Y61" s="52"/>
    </row>
    <row r="62" spans="1:25" s="1" customFormat="1" ht="18" customHeight="1" x14ac:dyDescent="0.25">
      <c r="A62" s="8">
        <v>28</v>
      </c>
      <c r="B62" s="177" t="s">
        <v>55</v>
      </c>
      <c r="C62" s="178"/>
      <c r="D62" s="179" t="s">
        <v>92</v>
      </c>
      <c r="E62" s="180" t="s">
        <v>93</v>
      </c>
      <c r="F62" s="180" t="s">
        <v>94</v>
      </c>
      <c r="G62" s="457">
        <f>'[1]FFIN2 Abril 2018'!$G$47</f>
        <v>39637094.219999999</v>
      </c>
      <c r="H62" s="78">
        <f t="shared" si="7"/>
        <v>3.8113639443931792E-2</v>
      </c>
      <c r="I62" s="447">
        <f>'[1]FFIN2 Abril 2018'!$I$47</f>
        <v>4.4999999999999997E-3</v>
      </c>
      <c r="J62" s="103"/>
      <c r="K62" s="112"/>
      <c r="L62" s="127" t="s">
        <v>95</v>
      </c>
      <c r="M62" s="449">
        <f>'[1]FFIN2 Abril 2018'!$M$47</f>
        <v>737314466.39999998</v>
      </c>
      <c r="N62" s="135">
        <f t="shared" ref="N62:N63" si="8">G62/M62</f>
        <v>5.3758736639918994E-2</v>
      </c>
      <c r="O62" s="818" t="s">
        <v>96</v>
      </c>
      <c r="P62" s="805">
        <f>(SUM(G62:G63)/G92)</f>
        <v>5.7479729772857473E-2</v>
      </c>
      <c r="Q62" s="790">
        <v>0.3</v>
      </c>
      <c r="R62" s="787">
        <v>0.15</v>
      </c>
      <c r="S62" s="793" t="s">
        <v>307</v>
      </c>
      <c r="T62" s="64"/>
      <c r="U62" s="64"/>
      <c r="V62" s="63"/>
      <c r="W62" s="64"/>
      <c r="X62" s="64"/>
      <c r="Y62" s="182"/>
    </row>
    <row r="63" spans="1:25" s="1" customFormat="1" ht="18.75" thickBot="1" x14ac:dyDescent="0.3">
      <c r="A63" s="8"/>
      <c r="B63" s="209" t="s">
        <v>116</v>
      </c>
      <c r="C63" s="87" t="s">
        <v>100</v>
      </c>
      <c r="D63" s="633" t="s">
        <v>320</v>
      </c>
      <c r="E63" s="110" t="s">
        <v>39</v>
      </c>
      <c r="F63" s="110" t="s">
        <v>94</v>
      </c>
      <c r="G63" s="591">
        <f>'[1]FFIN2 Abril 2018'!$G$48</f>
        <v>20140179.690000001</v>
      </c>
      <c r="H63" s="78">
        <f t="shared" si="7"/>
        <v>1.9366090328925684E-2</v>
      </c>
      <c r="I63" s="367">
        <f>'[1]FFIN2 Abril 2018'!$I$48</f>
        <v>7.6399999999999996E-2</v>
      </c>
      <c r="J63" s="146"/>
      <c r="K63" s="405"/>
      <c r="L63" s="211" t="s">
        <v>321</v>
      </c>
      <c r="M63" s="640">
        <f>'[1]FFIN2 Abril 2018'!$M$48</f>
        <v>304420623.66000003</v>
      </c>
      <c r="N63" s="378">
        <f t="shared" si="8"/>
        <v>6.61590514067604E-2</v>
      </c>
      <c r="O63" s="820"/>
      <c r="P63" s="807"/>
      <c r="Q63" s="792"/>
      <c r="R63" s="789"/>
      <c r="S63" s="795"/>
      <c r="T63" s="64"/>
      <c r="U63" s="64"/>
      <c r="V63" s="63"/>
      <c r="W63" s="64"/>
      <c r="X63" s="64"/>
      <c r="Y63" s="182"/>
    </row>
    <row r="64" spans="1:25" s="1" customFormat="1" ht="18.75" thickBot="1" x14ac:dyDescent="0.3">
      <c r="A64" s="185"/>
      <c r="B64" s="334" t="s">
        <v>182</v>
      </c>
      <c r="C64" s="335"/>
      <c r="D64" s="336"/>
      <c r="E64" s="336"/>
      <c r="F64" s="336"/>
      <c r="G64" s="582">
        <f>SUM(G65)</f>
        <v>0</v>
      </c>
      <c r="H64" s="187">
        <f t="shared" si="7"/>
        <v>0</v>
      </c>
      <c r="I64" s="91"/>
      <c r="J64" s="44"/>
      <c r="K64" s="44"/>
      <c r="L64" s="44"/>
      <c r="M64" s="130"/>
      <c r="N64" s="131"/>
      <c r="O64" s="42"/>
      <c r="P64" s="166"/>
      <c r="Q64" s="49"/>
      <c r="R64" s="647"/>
      <c r="S64" s="140"/>
      <c r="T64" s="64"/>
      <c r="U64" s="64"/>
      <c r="V64" s="63"/>
      <c r="W64" s="64"/>
      <c r="X64" s="64"/>
      <c r="Y64" s="182"/>
    </row>
    <row r="65" spans="1:25" s="1" customFormat="1" ht="23.25" thickBot="1" x14ac:dyDescent="0.3">
      <c r="A65" s="185">
        <v>31</v>
      </c>
      <c r="B65" s="188" t="s">
        <v>50</v>
      </c>
      <c r="C65" s="108"/>
      <c r="D65" s="189" t="s">
        <v>101</v>
      </c>
      <c r="E65" s="190" t="s">
        <v>39</v>
      </c>
      <c r="F65" s="115" t="s">
        <v>49</v>
      </c>
      <c r="G65" s="627">
        <f>'[1]FFIN2 Abril 2018'!$G$50</f>
        <v>0</v>
      </c>
      <c r="H65" s="191">
        <f t="shared" si="7"/>
        <v>0</v>
      </c>
      <c r="I65" s="71">
        <f>'[1]FFIN2 Abril 2018'!$I$50</f>
        <v>0</v>
      </c>
      <c r="J65" s="146"/>
      <c r="K65" s="192"/>
      <c r="L65" s="127" t="s">
        <v>95</v>
      </c>
      <c r="M65" s="626">
        <f>'[1]FFIN2 Abril 2018'!$M$50</f>
        <v>0</v>
      </c>
      <c r="N65" s="441" t="e">
        <f>G65/M65</f>
        <v>#DIV/0!</v>
      </c>
      <c r="O65" s="193" t="s">
        <v>102</v>
      </c>
      <c r="P65" s="194">
        <f>G65/G92</f>
        <v>0</v>
      </c>
      <c r="Q65" s="195">
        <v>0.3</v>
      </c>
      <c r="R65" s="196">
        <v>0.02</v>
      </c>
      <c r="S65" s="652" t="s">
        <v>308</v>
      </c>
      <c r="T65" s="64"/>
      <c r="U65" s="64"/>
      <c r="V65" s="63"/>
      <c r="W65" s="64"/>
      <c r="X65" s="64"/>
      <c r="Y65" s="182"/>
    </row>
    <row r="66" spans="1:25" s="53" customFormat="1" ht="18.75" thickBot="1" x14ac:dyDescent="0.25">
      <c r="A66" s="40"/>
      <c r="B66" s="334" t="s">
        <v>181</v>
      </c>
      <c r="C66" s="335"/>
      <c r="D66" s="336"/>
      <c r="E66" s="336"/>
      <c r="F66" s="336"/>
      <c r="G66" s="582">
        <f>SUM(G67:G74)</f>
        <v>82826333.910000011</v>
      </c>
      <c r="H66" s="43">
        <f t="shared" si="7"/>
        <v>7.964289737252192E-2</v>
      </c>
      <c r="I66" s="91"/>
      <c r="J66" s="29"/>
      <c r="K66" s="44"/>
      <c r="L66" s="44"/>
      <c r="M66" s="130"/>
      <c r="N66" s="131"/>
      <c r="O66" s="165"/>
      <c r="P66" s="647"/>
      <c r="Q66" s="49"/>
      <c r="R66" s="647"/>
      <c r="S66" s="140"/>
      <c r="T66" s="52"/>
      <c r="U66" s="52"/>
      <c r="V66" s="52"/>
      <c r="W66" s="52"/>
      <c r="X66" s="52"/>
      <c r="Y66" s="52"/>
    </row>
    <row r="67" spans="1:25" s="1" customFormat="1" ht="18" x14ac:dyDescent="0.25">
      <c r="A67" s="8">
        <v>34</v>
      </c>
      <c r="B67" s="54" t="s">
        <v>107</v>
      </c>
      <c r="C67" s="197"/>
      <c r="D67" s="68" t="s">
        <v>108</v>
      </c>
      <c r="E67" s="124" t="s">
        <v>39</v>
      </c>
      <c r="F67" s="124" t="s">
        <v>49</v>
      </c>
      <c r="G67" s="384">
        <f>'[1]FFIN2 Abril 2018'!$G$52</f>
        <v>10057851.09</v>
      </c>
      <c r="H67" s="78">
        <f t="shared" si="7"/>
        <v>9.6712768069560171E-3</v>
      </c>
      <c r="I67" s="376">
        <f>'[1]FFIN2 Abril 2018'!$I$52</f>
        <v>-1.5900000000000001E-2</v>
      </c>
      <c r="J67" s="181"/>
      <c r="K67" s="152"/>
      <c r="L67" s="113" t="s">
        <v>95</v>
      </c>
      <c r="M67" s="455">
        <f>'[1]FFIN2 Abril 2018'!$M$52</f>
        <v>242046785.06999999</v>
      </c>
      <c r="N67" s="78">
        <f>G67/M67</f>
        <v>4.1553334769934114E-2</v>
      </c>
      <c r="O67" s="802" t="s">
        <v>102</v>
      </c>
      <c r="P67" s="785">
        <f>SUM(G67:G74)/G92</f>
        <v>7.964289737252192E-2</v>
      </c>
      <c r="Q67" s="790"/>
      <c r="R67" s="791"/>
      <c r="S67" s="816" t="s">
        <v>309</v>
      </c>
      <c r="T67" s="634"/>
      <c r="U67" s="64"/>
      <c r="V67" s="63"/>
      <c r="W67" s="64"/>
      <c r="X67" s="64"/>
      <c r="Y67" s="182"/>
    </row>
    <row r="68" spans="1:25" s="1" customFormat="1" ht="19.5" thickBot="1" x14ac:dyDescent="0.3">
      <c r="A68" s="8"/>
      <c r="B68" s="107" t="s">
        <v>113</v>
      </c>
      <c r="C68" s="67" t="s">
        <v>114</v>
      </c>
      <c r="D68" s="68" t="s">
        <v>115</v>
      </c>
      <c r="E68" s="124" t="s">
        <v>39</v>
      </c>
      <c r="F68" s="124" t="s">
        <v>49</v>
      </c>
      <c r="G68" s="364">
        <f>'[1]FFIN2 Abril 2018'!$G$53</f>
        <v>24415180.73</v>
      </c>
      <c r="H68" s="78">
        <f t="shared" si="7"/>
        <v>2.3476781373951369E-2</v>
      </c>
      <c r="I68" s="358">
        <f>'[1]FFIN2 Abril 2018'!$I$53</f>
        <v>3.8199999999999998E-2</v>
      </c>
      <c r="J68" s="181"/>
      <c r="K68" s="206"/>
      <c r="L68" s="113" t="s">
        <v>95</v>
      </c>
      <c r="M68" s="451">
        <f>'[1]FFIN2 Abril 2018'!$M$53</f>
        <v>220320945.19</v>
      </c>
      <c r="N68" s="70">
        <f t="shared" ref="N68:N72" si="9">G68/M68</f>
        <v>0.11081643058922463</v>
      </c>
      <c r="O68" s="802"/>
      <c r="P68" s="785"/>
      <c r="Q68" s="791"/>
      <c r="R68" s="791"/>
      <c r="S68" s="817"/>
      <c r="T68" s="634"/>
      <c r="U68" s="64"/>
      <c r="V68" s="63"/>
      <c r="W68" s="64"/>
      <c r="X68" s="64"/>
      <c r="Y68" s="182"/>
    </row>
    <row r="69" spans="1:25" s="1" customFormat="1" ht="18" x14ac:dyDescent="0.25">
      <c r="A69" s="8"/>
      <c r="B69" s="54" t="s">
        <v>75</v>
      </c>
      <c r="C69" s="197"/>
      <c r="D69" s="68" t="s">
        <v>103</v>
      </c>
      <c r="E69" s="124" t="s">
        <v>104</v>
      </c>
      <c r="F69" s="124" t="s">
        <v>105</v>
      </c>
      <c r="G69" s="384">
        <f>'[1]FFIN2 Abril 2018'!$G$54</f>
        <v>21808396.66</v>
      </c>
      <c r="H69" s="78">
        <f t="shared" si="7"/>
        <v>2.0970189250908374E-2</v>
      </c>
      <c r="I69" s="376">
        <f>'[1]FFIN2 Abril 2018'!$I$54</f>
        <v>1.0699999999999999E-2</v>
      </c>
      <c r="J69" s="151"/>
      <c r="K69" s="198"/>
      <c r="L69" s="118" t="s">
        <v>95</v>
      </c>
      <c r="M69" s="452">
        <f>'[1]FFIN2 Abril 2018'!$M$54</f>
        <v>628177198.98000002</v>
      </c>
      <c r="N69" s="78">
        <f t="shared" si="9"/>
        <v>3.4716950400955793E-2</v>
      </c>
      <c r="O69" s="802"/>
      <c r="P69" s="785"/>
      <c r="Q69" s="791"/>
      <c r="R69" s="791"/>
      <c r="S69" s="817"/>
      <c r="T69" s="634"/>
      <c r="U69" s="64"/>
      <c r="V69" s="63"/>
      <c r="W69" s="64"/>
      <c r="X69" s="64"/>
      <c r="Y69" s="182"/>
    </row>
    <row r="70" spans="1:25" s="1" customFormat="1" ht="18" x14ac:dyDescent="0.25">
      <c r="A70" s="8"/>
      <c r="B70" s="54" t="s">
        <v>75</v>
      </c>
      <c r="C70" s="197"/>
      <c r="D70" s="68" t="s">
        <v>106</v>
      </c>
      <c r="E70" s="124" t="s">
        <v>39</v>
      </c>
      <c r="F70" s="124" t="s">
        <v>49</v>
      </c>
      <c r="G70" s="384">
        <f>'[1]FFIN2 Abril 2018'!$G$55</f>
        <v>2874584.73</v>
      </c>
      <c r="H70" s="78">
        <f t="shared" si="7"/>
        <v>2.7640998440034495E-3</v>
      </c>
      <c r="I70" s="376">
        <f>'[1]FFIN2 Abril 2018'!$I$55</f>
        <v>1.9199999999999998E-2</v>
      </c>
      <c r="J70" s="200"/>
      <c r="K70" s="201"/>
      <c r="L70" s="202" t="s">
        <v>95</v>
      </c>
      <c r="M70" s="434">
        <f>'[1]FFIN2 Abril 2018'!$M$55</f>
        <v>398949719.56</v>
      </c>
      <c r="N70" s="119">
        <f t="shared" si="9"/>
        <v>7.2053810018224045E-3</v>
      </c>
      <c r="O70" s="802"/>
      <c r="P70" s="785"/>
      <c r="Q70" s="791"/>
      <c r="R70" s="791"/>
      <c r="S70" s="817"/>
      <c r="T70" s="634"/>
      <c r="U70" s="64"/>
      <c r="V70" s="63"/>
      <c r="W70" s="64"/>
      <c r="X70" s="64"/>
      <c r="Y70" s="182"/>
    </row>
    <row r="71" spans="1:25" s="1" customFormat="1" ht="18" x14ac:dyDescent="0.25">
      <c r="A71" s="8"/>
      <c r="B71" s="54" t="s">
        <v>206</v>
      </c>
      <c r="C71" s="197"/>
      <c r="D71" s="68" t="s">
        <v>103</v>
      </c>
      <c r="E71" s="124" t="s">
        <v>104</v>
      </c>
      <c r="F71" s="124" t="s">
        <v>105</v>
      </c>
      <c r="G71" s="384">
        <f>'[2]FFPREV Abril 2018'!$G$36</f>
        <v>7606344.9199999999</v>
      </c>
      <c r="H71" s="78">
        <f t="shared" si="7"/>
        <v>7.3139944658400903E-3</v>
      </c>
      <c r="I71" s="376">
        <f>'[2]FFPREV Abril 2018'!$I$36</f>
        <v>1.0699999999999999E-2</v>
      </c>
      <c r="J71" s="181"/>
      <c r="K71" s="388"/>
      <c r="L71" s="387" t="s">
        <v>207</v>
      </c>
      <c r="M71" s="453">
        <f>'[2]FFPREV Abril 2018'!$M$36</f>
        <v>628177198.98000002</v>
      </c>
      <c r="N71" s="389">
        <f t="shared" si="9"/>
        <v>1.2108597593721595E-2</v>
      </c>
      <c r="O71" s="802"/>
      <c r="P71" s="785"/>
      <c r="Q71" s="791"/>
      <c r="R71" s="791"/>
      <c r="S71" s="817"/>
      <c r="T71" s="634"/>
      <c r="U71" s="64"/>
      <c r="V71" s="63"/>
      <c r="W71" s="64"/>
      <c r="X71" s="64"/>
      <c r="Y71" s="182"/>
    </row>
    <row r="72" spans="1:25" s="1" customFormat="1" ht="18" x14ac:dyDescent="0.25">
      <c r="A72" s="8"/>
      <c r="B72" s="54" t="s">
        <v>206</v>
      </c>
      <c r="C72" s="197"/>
      <c r="D72" s="68" t="s">
        <v>208</v>
      </c>
      <c r="E72" s="124" t="s">
        <v>39</v>
      </c>
      <c r="F72" s="124" t="s">
        <v>49</v>
      </c>
      <c r="G72" s="384">
        <f>'[2]FFPREV Abril 2018'!$G$37</f>
        <v>4155550.83</v>
      </c>
      <c r="H72" s="78">
        <f t="shared" si="7"/>
        <v>3.9958319130678072E-3</v>
      </c>
      <c r="I72" s="376">
        <f>'[2]FFPREV Abril 2018'!$I$37</f>
        <v>1.9199999999999998E-2</v>
      </c>
      <c r="J72" s="181"/>
      <c r="K72" s="390"/>
      <c r="L72" s="387" t="s">
        <v>95</v>
      </c>
      <c r="M72" s="453">
        <f>'[2]FFPREV Abril 2018'!$M$37</f>
        <v>398949719.52999997</v>
      </c>
      <c r="N72" s="389">
        <f t="shared" si="9"/>
        <v>1.0416226974405765E-2</v>
      </c>
      <c r="O72" s="802"/>
      <c r="P72" s="785"/>
      <c r="Q72" s="791"/>
      <c r="R72" s="791"/>
      <c r="S72" s="817"/>
      <c r="T72" s="634"/>
      <c r="U72" s="64"/>
      <c r="V72" s="63"/>
      <c r="W72" s="64"/>
      <c r="X72" s="64"/>
      <c r="Y72" s="182"/>
    </row>
    <row r="73" spans="1:25" s="1" customFormat="1" ht="18.75" thickBot="1" x14ac:dyDescent="0.3">
      <c r="A73" s="8">
        <v>35</v>
      </c>
      <c r="B73" s="177" t="s">
        <v>50</v>
      </c>
      <c r="C73" s="108"/>
      <c r="D73" s="184" t="s">
        <v>109</v>
      </c>
      <c r="E73" s="110" t="s">
        <v>110</v>
      </c>
      <c r="F73" s="110" t="s">
        <v>111</v>
      </c>
      <c r="G73" s="591">
        <f>'[1]FFIN2 Abril 2018'!$G$56</f>
        <v>7241545.7999999998</v>
      </c>
      <c r="H73" s="78">
        <f t="shared" si="7"/>
        <v>6.9632164281773785E-3</v>
      </c>
      <c r="I73" s="358">
        <f>'[1]FFIN2 Abril 2018'!$I$56</f>
        <v>-6.1000000000000004E-3</v>
      </c>
      <c r="J73" s="116"/>
      <c r="K73" s="198"/>
      <c r="L73" s="113" t="s">
        <v>112</v>
      </c>
      <c r="M73" s="452">
        <f>'[1]FFIN2 Abril 2018'!$M$56</f>
        <v>456334337.70999998</v>
      </c>
      <c r="N73" s="204">
        <f>G73/M73</f>
        <v>1.586894783403741E-2</v>
      </c>
      <c r="O73" s="802"/>
      <c r="P73" s="785"/>
      <c r="Q73" s="791"/>
      <c r="R73" s="791"/>
      <c r="S73" s="817"/>
      <c r="T73" s="635"/>
      <c r="U73" s="64"/>
      <c r="V73" s="63"/>
      <c r="W73" s="64"/>
      <c r="X73" s="64"/>
      <c r="Y73" s="182"/>
    </row>
    <row r="74" spans="1:25" s="1" customFormat="1" ht="18.75" thickBot="1" x14ac:dyDescent="0.3">
      <c r="A74" s="8">
        <v>36</v>
      </c>
      <c r="B74" s="391" t="s">
        <v>209</v>
      </c>
      <c r="C74" s="108"/>
      <c r="D74" s="88" t="s">
        <v>327</v>
      </c>
      <c r="E74" s="180" t="s">
        <v>39</v>
      </c>
      <c r="F74" s="155" t="s">
        <v>49</v>
      </c>
      <c r="G74" s="454">
        <f>'[2]FFPREV Abril 2018'!$G$38</f>
        <v>4666879.1500000004</v>
      </c>
      <c r="H74" s="78">
        <f t="shared" si="7"/>
        <v>4.4875072896174298E-3</v>
      </c>
      <c r="I74" s="367">
        <f>'[2]FFPREV Abril 2018'!$I$38</f>
        <v>2.4E-2</v>
      </c>
      <c r="J74" s="181"/>
      <c r="K74" s="324"/>
      <c r="L74" s="392" t="s">
        <v>211</v>
      </c>
      <c r="M74" s="456">
        <f>'[2]FFPREV Abril 2018'!$M$38</f>
        <v>348191466.97000003</v>
      </c>
      <c r="N74" s="70">
        <f>G74/M74</f>
        <v>1.340319793190709E-2</v>
      </c>
      <c r="O74" s="802"/>
      <c r="P74" s="785"/>
      <c r="Q74" s="792"/>
      <c r="R74" s="791"/>
      <c r="S74" s="795"/>
      <c r="T74" s="64"/>
      <c r="U74" s="64"/>
      <c r="V74" s="63"/>
      <c r="W74" s="64"/>
      <c r="X74" s="64"/>
      <c r="Y74" s="182"/>
    </row>
    <row r="75" spans="1:25" s="1" customFormat="1" ht="23.25" thickBot="1" x14ac:dyDescent="0.3">
      <c r="A75" s="8"/>
      <c r="B75" s="350" t="s">
        <v>183</v>
      </c>
      <c r="C75" s="338"/>
      <c r="D75" s="348"/>
      <c r="E75" s="340"/>
      <c r="F75" s="342"/>
      <c r="G75" s="612">
        <v>0</v>
      </c>
      <c r="H75" s="215"/>
      <c r="I75" s="116"/>
      <c r="J75" s="408"/>
      <c r="K75" s="318"/>
      <c r="L75" s="409"/>
      <c r="M75" s="317"/>
      <c r="N75" s="187"/>
      <c r="O75" s="410" t="s">
        <v>96</v>
      </c>
      <c r="P75" s="322">
        <v>0</v>
      </c>
      <c r="Q75" s="95">
        <v>0.2</v>
      </c>
      <c r="R75" s="96">
        <v>0</v>
      </c>
      <c r="S75" s="581" t="s">
        <v>310</v>
      </c>
      <c r="T75" s="64"/>
      <c r="U75" s="64"/>
      <c r="V75" s="63"/>
      <c r="W75" s="64"/>
      <c r="X75" s="64"/>
      <c r="Y75" s="182"/>
    </row>
    <row r="76" spans="1:25" s="53" customFormat="1" ht="18.75" thickBot="1" x14ac:dyDescent="0.25">
      <c r="A76" s="40"/>
      <c r="B76" s="350" t="s">
        <v>184</v>
      </c>
      <c r="C76" s="335"/>
      <c r="D76" s="336"/>
      <c r="E76" s="336"/>
      <c r="F76" s="336"/>
      <c r="G76" s="582">
        <f>SUM(G77:G80)</f>
        <v>15241400.67</v>
      </c>
      <c r="H76" s="43">
        <f t="shared" ref="H76:H89" si="10">G76/$G$92</f>
        <v>1.4655596258712844E-2</v>
      </c>
      <c r="I76" s="412"/>
      <c r="J76" s="44"/>
      <c r="K76" s="44"/>
      <c r="L76" s="44"/>
      <c r="M76" s="130"/>
      <c r="N76" s="131"/>
      <c r="O76" s="42"/>
      <c r="P76" s="166"/>
      <c r="Q76" s="647"/>
      <c r="R76" s="647"/>
      <c r="S76" s="140"/>
      <c r="T76" s="52"/>
      <c r="U76" s="52"/>
      <c r="V76" s="52"/>
      <c r="W76" s="52"/>
      <c r="X76" s="52"/>
      <c r="Y76" s="52"/>
    </row>
    <row r="77" spans="1:25" s="1" customFormat="1" ht="18.75" thickBot="1" x14ac:dyDescent="0.3">
      <c r="A77" s="8">
        <v>39</v>
      </c>
      <c r="B77" s="209" t="s">
        <v>116</v>
      </c>
      <c r="C77" s="87" t="s">
        <v>100</v>
      </c>
      <c r="D77" s="210" t="s">
        <v>117</v>
      </c>
      <c r="E77" s="110" t="s">
        <v>38</v>
      </c>
      <c r="F77" s="110" t="s">
        <v>39</v>
      </c>
      <c r="G77" s="591">
        <f>'[1]FFIN2 Abril 2018'!$G$59</f>
        <v>3383934.91</v>
      </c>
      <c r="H77" s="614">
        <f t="shared" si="10"/>
        <v>3.2538731105166718E-3</v>
      </c>
      <c r="I77" s="416">
        <f>'[1]FFIN2 Abril 2018'!$I$59</f>
        <v>5.8999999999999999E-3</v>
      </c>
      <c r="J77" s="117"/>
      <c r="K77" s="377"/>
      <c r="L77" s="211" t="s">
        <v>118</v>
      </c>
      <c r="M77" s="458">
        <f>'[1]FFIN2 Abril 2018'!$M$59</f>
        <v>1093531923.9400001</v>
      </c>
      <c r="N77" s="378">
        <f>G77/M77</f>
        <v>3.0945003396038668E-3</v>
      </c>
      <c r="O77" s="799" t="s">
        <v>96</v>
      </c>
      <c r="P77" s="796">
        <f>SUM(G77:G80)/G92</f>
        <v>1.4655596258712844E-2</v>
      </c>
      <c r="Q77" s="778">
        <v>0.1</v>
      </c>
      <c r="R77" s="778">
        <v>0.03</v>
      </c>
      <c r="S77" s="813" t="s">
        <v>311</v>
      </c>
      <c r="T77" s="64"/>
      <c r="U77" s="64"/>
      <c r="V77" s="63"/>
      <c r="W77" s="64"/>
      <c r="X77" s="64"/>
      <c r="Y77" s="90"/>
    </row>
    <row r="78" spans="1:25" s="1" customFormat="1" ht="18.75" thickBot="1" x14ac:dyDescent="0.3">
      <c r="A78" s="8"/>
      <c r="B78" s="393" t="s">
        <v>212</v>
      </c>
      <c r="C78" s="87" t="s">
        <v>100</v>
      </c>
      <c r="D78" s="210" t="s">
        <v>117</v>
      </c>
      <c r="E78" s="110" t="s">
        <v>38</v>
      </c>
      <c r="F78" s="110" t="s">
        <v>39</v>
      </c>
      <c r="G78" s="457">
        <f>'[2]FFPREV Abril 2018'!$G$41</f>
        <v>3335300.16</v>
      </c>
      <c r="H78" s="78">
        <f t="shared" si="10"/>
        <v>3.2071076408872043E-3</v>
      </c>
      <c r="I78" s="447">
        <f>'[2]FFPREV Abril 2018'!$I$41</f>
        <v>5.8999999999999999E-3</v>
      </c>
      <c r="J78" s="411"/>
      <c r="K78" s="403"/>
      <c r="L78" s="211" t="s">
        <v>71</v>
      </c>
      <c r="M78" s="458">
        <f>'[2]FFPREV Abril 2018'!$M$41</f>
        <v>1093531923.9400001</v>
      </c>
      <c r="N78" s="378">
        <f>G78/M78</f>
        <v>3.0500254148803445E-3</v>
      </c>
      <c r="O78" s="800"/>
      <c r="P78" s="797"/>
      <c r="Q78" s="779"/>
      <c r="R78" s="779"/>
      <c r="S78" s="814"/>
      <c r="T78" s="64"/>
      <c r="U78" s="64"/>
      <c r="V78" s="63"/>
      <c r="W78" s="64"/>
      <c r="X78" s="64"/>
      <c r="Y78" s="90"/>
    </row>
    <row r="79" spans="1:25" s="1" customFormat="1" ht="18" x14ac:dyDescent="0.25">
      <c r="A79" s="8">
        <v>40</v>
      </c>
      <c r="B79" s="66" t="s">
        <v>107</v>
      </c>
      <c r="C79" s="197"/>
      <c r="D79" s="179" t="s">
        <v>119</v>
      </c>
      <c r="E79" s="124" t="s">
        <v>120</v>
      </c>
      <c r="F79" s="124" t="s">
        <v>120</v>
      </c>
      <c r="G79" s="384">
        <f>'[1]FFIN2 Abril 2018'!$G$60</f>
        <v>5326353.5</v>
      </c>
      <c r="H79" s="78">
        <f t="shared" si="10"/>
        <v>5.121634692068105E-3</v>
      </c>
      <c r="I79" s="415">
        <f>'[1]FFIN2 Abril 2018'!$I$60</f>
        <v>-5.8999999999999999E-3</v>
      </c>
      <c r="J79" s="111"/>
      <c r="K79" s="126"/>
      <c r="L79" s="113" t="s">
        <v>95</v>
      </c>
      <c r="M79" s="455">
        <f>'[1]FFIN2 Abril 2018'!$M$60</f>
        <v>34610648.189999998</v>
      </c>
      <c r="N79" s="623">
        <f>G79/M79</f>
        <v>0.1538934917011735</v>
      </c>
      <c r="O79" s="800"/>
      <c r="P79" s="797"/>
      <c r="Q79" s="779"/>
      <c r="R79" s="779"/>
      <c r="S79" s="814"/>
      <c r="T79" s="64"/>
      <c r="U79" s="64"/>
      <c r="V79" s="63"/>
      <c r="W79" s="64"/>
      <c r="X79" s="64"/>
      <c r="Y79" s="90"/>
    </row>
    <row r="80" spans="1:25" s="1" customFormat="1" ht="18.75" thickBot="1" x14ac:dyDescent="0.3">
      <c r="A80" s="8"/>
      <c r="B80" s="413" t="s">
        <v>202</v>
      </c>
      <c r="C80" s="197"/>
      <c r="D80" s="88" t="s">
        <v>119</v>
      </c>
      <c r="E80" s="124" t="s">
        <v>120</v>
      </c>
      <c r="F80" s="124" t="s">
        <v>120</v>
      </c>
      <c r="G80" s="366">
        <f>'[2]FFPREV Abril 2018'!$G$42</f>
        <v>3195812.1</v>
      </c>
      <c r="H80" s="89">
        <f t="shared" si="10"/>
        <v>3.0729808152408634E-3</v>
      </c>
      <c r="I80" s="367">
        <f>'[2]FFPREV Abril 2018'!$I$42</f>
        <v>-5.8999999999999999E-3</v>
      </c>
      <c r="J80" s="169"/>
      <c r="K80" s="405"/>
      <c r="L80" s="387" t="s">
        <v>95</v>
      </c>
      <c r="M80" s="459">
        <f>'[2]FFPREV Abril 2018'!$M$42</f>
        <v>34610648.189999998</v>
      </c>
      <c r="N80" s="623">
        <f>G80/M80</f>
        <v>9.2336095020704098E-2</v>
      </c>
      <c r="O80" s="801"/>
      <c r="P80" s="798"/>
      <c r="Q80" s="780"/>
      <c r="R80" s="780"/>
      <c r="S80" s="815"/>
      <c r="T80" s="64"/>
      <c r="U80" s="64"/>
      <c r="V80" s="63"/>
      <c r="W80" s="64"/>
      <c r="X80" s="64"/>
      <c r="Y80" s="90"/>
    </row>
    <row r="81" spans="1:25" s="1" customFormat="1" ht="18.75" thickBot="1" x14ac:dyDescent="0.3">
      <c r="A81" s="8"/>
      <c r="B81" s="350" t="s">
        <v>185</v>
      </c>
      <c r="C81" s="335"/>
      <c r="D81" s="336"/>
      <c r="E81" s="336"/>
      <c r="F81" s="336"/>
      <c r="G81" s="582">
        <f>SUM(G82:G84)</f>
        <v>15356000.470000003</v>
      </c>
      <c r="H81" s="43">
        <f t="shared" si="10"/>
        <v>1.4765791406553498E-2</v>
      </c>
      <c r="I81" s="91"/>
      <c r="J81" s="92"/>
      <c r="K81" s="92"/>
      <c r="L81" s="44"/>
      <c r="M81" s="93"/>
      <c r="N81" s="131"/>
      <c r="O81" s="42"/>
      <c r="P81" s="647"/>
      <c r="Q81" s="49"/>
      <c r="R81" s="49"/>
      <c r="S81" s="140"/>
      <c r="T81" s="64"/>
      <c r="U81" s="64"/>
      <c r="V81" s="63"/>
      <c r="W81" s="64"/>
      <c r="X81" s="64"/>
      <c r="Y81" s="90"/>
    </row>
    <row r="82" spans="1:25" s="1" customFormat="1" ht="18" x14ac:dyDescent="0.25">
      <c r="A82" s="8"/>
      <c r="B82" s="148" t="s">
        <v>124</v>
      </c>
      <c r="C82" s="216"/>
      <c r="D82" s="217" t="s">
        <v>125</v>
      </c>
      <c r="E82" s="100" t="s">
        <v>89</v>
      </c>
      <c r="F82" s="100" t="s">
        <v>89</v>
      </c>
      <c r="G82" s="588">
        <f>'[1]FFIN2 Abril 2018'!$G$62</f>
        <v>14033097.630000001</v>
      </c>
      <c r="H82" s="218">
        <f t="shared" si="10"/>
        <v>1.3493734439328277E-2</v>
      </c>
      <c r="I82" s="425">
        <f>'[1]FFIN2 Abril 2018'!$I$62</f>
        <v>7.3899999999999997E-4</v>
      </c>
      <c r="J82" s="219"/>
      <c r="K82" s="220"/>
      <c r="L82" s="216" t="s">
        <v>80</v>
      </c>
      <c r="M82" s="461">
        <f>'[1]FFIN2 Abril 2018'!$M$62</f>
        <v>99634993.189999998</v>
      </c>
      <c r="N82" s="135">
        <f>G82/M82</f>
        <v>0.14084507039850386</v>
      </c>
      <c r="O82" s="781" t="s">
        <v>126</v>
      </c>
      <c r="P82" s="805">
        <f>SUM(G82:G84)/G92</f>
        <v>1.4765791406553498E-2</v>
      </c>
      <c r="Q82" s="808">
        <v>0.05</v>
      </c>
      <c r="R82" s="790">
        <v>0.03</v>
      </c>
      <c r="S82" s="793" t="s">
        <v>312</v>
      </c>
      <c r="T82" s="64"/>
      <c r="U82" s="64"/>
      <c r="V82" s="63"/>
      <c r="W82" s="64"/>
      <c r="X82" s="64"/>
      <c r="Y82" s="90"/>
    </row>
    <row r="83" spans="1:25" s="1" customFormat="1" ht="18" x14ac:dyDescent="0.25">
      <c r="A83" s="8"/>
      <c r="B83" s="221" t="s">
        <v>127</v>
      </c>
      <c r="C83" s="222"/>
      <c r="D83" s="223" t="s">
        <v>128</v>
      </c>
      <c r="E83" s="180" t="s">
        <v>89</v>
      </c>
      <c r="F83" s="180" t="s">
        <v>89</v>
      </c>
      <c r="G83" s="384">
        <f>'[1]FFIN2 Abril 2018'!$G$63</f>
        <v>470888.71</v>
      </c>
      <c r="H83" s="78">
        <f t="shared" si="10"/>
        <v>4.5279006608164429E-4</v>
      </c>
      <c r="I83" s="448">
        <f>'[1]FFIN2 Abril 2018'!$I$63</f>
        <v>2.7000000000000001E-3</v>
      </c>
      <c r="J83" s="224"/>
      <c r="K83" s="225"/>
      <c r="L83" s="226" t="s">
        <v>80</v>
      </c>
      <c r="M83" s="428">
        <f>'[1]FFIN2 Abril 2018'!$M$63</f>
        <v>214711361.44</v>
      </c>
      <c r="N83" s="114">
        <f>G83/M83</f>
        <v>2.1931243267328798E-3</v>
      </c>
      <c r="O83" s="782"/>
      <c r="P83" s="806"/>
      <c r="Q83" s="809"/>
      <c r="R83" s="791"/>
      <c r="S83" s="794"/>
      <c r="T83" s="64"/>
      <c r="U83" s="64"/>
      <c r="V83" s="63"/>
      <c r="W83" s="64"/>
      <c r="X83" s="64"/>
      <c r="Y83" s="90"/>
    </row>
    <row r="84" spans="1:25" s="1" customFormat="1" ht="18.75" thickBot="1" x14ac:dyDescent="0.3">
      <c r="A84" s="8"/>
      <c r="B84" s="227" t="s">
        <v>129</v>
      </c>
      <c r="C84" s="216"/>
      <c r="D84" s="228" t="s">
        <v>130</v>
      </c>
      <c r="E84" s="155" t="s">
        <v>89</v>
      </c>
      <c r="F84" s="155" t="s">
        <v>89</v>
      </c>
      <c r="G84" s="385">
        <f>'[1]FFIN2 Abril 2018'!$G$64</f>
        <v>852014.13</v>
      </c>
      <c r="H84" s="89">
        <f t="shared" si="10"/>
        <v>8.1926690114357309E-4</v>
      </c>
      <c r="I84" s="460">
        <f>'[1]FFIN2 Abril 2018'!$I$64</f>
        <v>-6.0000000000000001E-3</v>
      </c>
      <c r="J84" s="229"/>
      <c r="K84" s="230"/>
      <c r="L84" s="231" t="s">
        <v>80</v>
      </c>
      <c r="M84" s="428">
        <f>'[1]FFIN2 Abril 2018'!$M$64</f>
        <v>215843454.55000001</v>
      </c>
      <c r="N84" s="171">
        <f>G84/M84</f>
        <v>3.9473707079805444E-3</v>
      </c>
      <c r="O84" s="783"/>
      <c r="P84" s="807"/>
      <c r="Q84" s="810"/>
      <c r="R84" s="792"/>
      <c r="S84" s="795"/>
      <c r="T84" s="64"/>
      <c r="U84" s="64"/>
      <c r="V84" s="63"/>
      <c r="W84" s="64"/>
      <c r="X84" s="64"/>
      <c r="Y84" s="90"/>
    </row>
    <row r="85" spans="1:25" s="53" customFormat="1" ht="18.75" thickBot="1" x14ac:dyDescent="0.25">
      <c r="A85" s="40"/>
      <c r="B85" s="350" t="s">
        <v>186</v>
      </c>
      <c r="C85" s="335"/>
      <c r="D85" s="336"/>
      <c r="E85" s="336"/>
      <c r="F85" s="336"/>
      <c r="G85" s="582">
        <f>SUM(G86:G87)</f>
        <v>14625939.140000001</v>
      </c>
      <c r="H85" s="43">
        <f t="shared" si="10"/>
        <v>1.406379004012797E-2</v>
      </c>
      <c r="I85" s="91"/>
      <c r="J85" s="92"/>
      <c r="K85" s="44"/>
      <c r="L85" s="44"/>
      <c r="M85" s="130"/>
      <c r="N85" s="131"/>
      <c r="O85" s="42"/>
      <c r="P85" s="647"/>
      <c r="Q85" s="166"/>
      <c r="R85" s="166"/>
      <c r="S85" s="580"/>
      <c r="T85" s="52"/>
      <c r="U85" s="52"/>
      <c r="V85" s="52"/>
      <c r="W85" s="52"/>
      <c r="X85" s="52"/>
      <c r="Y85" s="52"/>
    </row>
    <row r="86" spans="1:25" s="53" customFormat="1" ht="16.5" customHeight="1" x14ac:dyDescent="0.25">
      <c r="A86" s="212">
        <v>41</v>
      </c>
      <c r="B86" s="97" t="s">
        <v>161</v>
      </c>
      <c r="C86" s="98"/>
      <c r="D86" s="134" t="s">
        <v>162</v>
      </c>
      <c r="E86" s="101" t="s">
        <v>89</v>
      </c>
      <c r="F86" s="101" t="s">
        <v>89</v>
      </c>
      <c r="G86" s="588">
        <f>'[1]FFIN2 Abril 2018'!$G$66</f>
        <v>5281100</v>
      </c>
      <c r="H86" s="213">
        <f t="shared" si="10"/>
        <v>5.0781205138338776E-3</v>
      </c>
      <c r="I86" s="416">
        <f>'[1]FFIN2 Abril 2018'!$I$66</f>
        <v>-0.10489999999999999</v>
      </c>
      <c r="J86" s="214"/>
      <c r="K86" s="104"/>
      <c r="L86" s="105" t="s">
        <v>71</v>
      </c>
      <c r="M86" s="427">
        <f>'[1]FFIN2 Abril 2018'!$M$66</f>
        <v>236753106.78999999</v>
      </c>
      <c r="N86" s="135">
        <f>G86/M86</f>
        <v>2.2306359868317738E-2</v>
      </c>
      <c r="O86" s="799" t="s">
        <v>121</v>
      </c>
      <c r="P86" s="796">
        <f>SUM(G86:G87)/G92</f>
        <v>1.406379004012797E-2</v>
      </c>
      <c r="Q86" s="790">
        <v>0.05</v>
      </c>
      <c r="R86" s="790">
        <v>0.03</v>
      </c>
      <c r="S86" s="793" t="s">
        <v>313</v>
      </c>
      <c r="T86" s="52"/>
      <c r="U86" s="52"/>
      <c r="V86" s="52"/>
      <c r="W86" s="52"/>
      <c r="X86" s="52"/>
      <c r="Y86" s="52"/>
    </row>
    <row r="87" spans="1:25" s="1" customFormat="1" ht="18.75" thickBot="1" x14ac:dyDescent="0.3">
      <c r="A87" s="8">
        <v>42</v>
      </c>
      <c r="B87" s="167" t="s">
        <v>122</v>
      </c>
      <c r="C87" s="108"/>
      <c r="D87" s="87" t="s">
        <v>123</v>
      </c>
      <c r="E87" s="168" t="s">
        <v>89</v>
      </c>
      <c r="F87" s="168" t="s">
        <v>89</v>
      </c>
      <c r="G87" s="385">
        <f>'[1]FFIN2 Abril 2018'!$G$67</f>
        <v>9344839.1400000006</v>
      </c>
      <c r="H87" s="215">
        <f t="shared" si="10"/>
        <v>8.9856695262940916E-3</v>
      </c>
      <c r="I87" s="460">
        <f>'[1]FFIN2 Abril 2018'!$I$67</f>
        <v>-3.1300000000000001E-2</v>
      </c>
      <c r="J87" s="138"/>
      <c r="K87" s="208"/>
      <c r="L87" s="159" t="s">
        <v>71</v>
      </c>
      <c r="M87" s="446">
        <f>'[1]FFIN2 Abril 2018'!$M$67</f>
        <v>139047318.09</v>
      </c>
      <c r="N87" s="624">
        <f>G87/M87</f>
        <v>6.7206180373442684E-2</v>
      </c>
      <c r="O87" s="801"/>
      <c r="P87" s="798"/>
      <c r="Q87" s="792"/>
      <c r="R87" s="792"/>
      <c r="S87" s="795"/>
      <c r="T87" s="64"/>
      <c r="U87" s="64"/>
      <c r="V87" s="63"/>
      <c r="W87" s="64"/>
      <c r="X87" s="63"/>
      <c r="Y87" s="65"/>
    </row>
    <row r="88" spans="1:25" s="1" customFormat="1" ht="12" customHeight="1" thickBot="1" x14ac:dyDescent="0.3">
      <c r="A88" s="185"/>
      <c r="B88" s="186" t="s">
        <v>131</v>
      </c>
      <c r="C88" s="41"/>
      <c r="D88" s="42"/>
      <c r="E88" s="232"/>
      <c r="F88" s="232"/>
      <c r="G88" s="592">
        <f>SUM(G89:G91)</f>
        <v>1052524.78</v>
      </c>
      <c r="H88" s="233">
        <f t="shared" si="10"/>
        <v>1.0120709088327221E-3</v>
      </c>
      <c r="I88" s="234"/>
      <c r="J88" s="235"/>
      <c r="K88" s="235"/>
      <c r="L88" s="235"/>
      <c r="M88" s="236"/>
      <c r="N88" s="131"/>
      <c r="O88" s="237"/>
      <c r="P88" s="238">
        <f>SUM((G61+G64+G66+G76+G85)/G92)*100</f>
        <v>16.58420134442202</v>
      </c>
      <c r="Q88" s="239"/>
      <c r="R88" s="240">
        <f>SUM(P61+P88+P89+P90)/100</f>
        <v>0.98423225839370232</v>
      </c>
      <c r="S88" s="51"/>
      <c r="T88" s="216"/>
      <c r="U88" s="216"/>
      <c r="V88" s="216"/>
      <c r="W88" s="216"/>
      <c r="X88" s="216"/>
    </row>
    <row r="89" spans="1:25" s="1" customFormat="1" ht="18" x14ac:dyDescent="0.25">
      <c r="A89" s="185">
        <v>46</v>
      </c>
      <c r="B89" s="241" t="s">
        <v>132</v>
      </c>
      <c r="C89" s="242"/>
      <c r="D89" s="243"/>
      <c r="E89" s="244"/>
      <c r="F89" s="245"/>
      <c r="G89" s="593">
        <f>'[1]FFIN2 Abril 2018'!$G$69</f>
        <v>397453.28</v>
      </c>
      <c r="H89" s="199">
        <f t="shared" si="10"/>
        <v>3.8217713250242563E-4</v>
      </c>
      <c r="I89" s="142">
        <f>'[1]FFIN2 Abril 2018'!$I$69</f>
        <v>0</v>
      </c>
      <c r="J89" s="246"/>
      <c r="K89" s="247"/>
      <c r="L89" s="248"/>
      <c r="M89" s="249"/>
      <c r="N89" s="250"/>
      <c r="O89" s="803" t="s">
        <v>133</v>
      </c>
      <c r="P89" s="811">
        <f>SUM(G89:G91)/G92</f>
        <v>1.0120709088327221E-3</v>
      </c>
      <c r="Q89" s="574"/>
      <c r="R89" s="251"/>
      <c r="S89" s="245"/>
      <c r="T89" s="216"/>
      <c r="U89" s="216"/>
      <c r="V89" s="216"/>
      <c r="W89" s="216"/>
      <c r="X89" s="216"/>
    </row>
    <row r="90" spans="1:25" s="216" customFormat="1" ht="18.75" thickBot="1" x14ac:dyDescent="0.3">
      <c r="A90" s="8">
        <v>47</v>
      </c>
      <c r="B90" s="252" t="s">
        <v>134</v>
      </c>
      <c r="C90" s="253"/>
      <c r="D90" s="254"/>
      <c r="E90" s="255"/>
      <c r="F90" s="253"/>
      <c r="G90" s="384">
        <f>'[1]FFIN2 Abril 2018'!$G$70</f>
        <v>646851.81000000006</v>
      </c>
      <c r="H90" s="256">
        <v>9.5999999999999992E-3</v>
      </c>
      <c r="I90" s="71">
        <f>'[1]FFIN2 Abril 2018'!$I$70</f>
        <v>0</v>
      </c>
      <c r="J90" s="257"/>
      <c r="K90" s="258"/>
      <c r="L90" s="259"/>
      <c r="M90" s="260"/>
      <c r="N90" s="261"/>
      <c r="O90" s="804"/>
      <c r="P90" s="812"/>
      <c r="Q90" s="253"/>
      <c r="R90" s="262"/>
      <c r="S90" s="255"/>
      <c r="T90" s="263"/>
      <c r="V90" s="264"/>
      <c r="Y90" s="1"/>
    </row>
    <row r="91" spans="1:25" s="216" customFormat="1" ht="18" x14ac:dyDescent="0.25">
      <c r="A91" s="8"/>
      <c r="B91" s="401" t="s">
        <v>334</v>
      </c>
      <c r="C91" s="242"/>
      <c r="D91" s="254"/>
      <c r="E91" s="402"/>
      <c r="F91" s="255"/>
      <c r="G91" s="384">
        <f>'[2]FFPREV Abril 2018'!$G$47</f>
        <v>8219.69</v>
      </c>
      <c r="H91" s="70">
        <f>G91/$G$86</f>
        <v>1.5564352123610611E-3</v>
      </c>
      <c r="I91" s="71">
        <f>'[2]FFPREV Abril 2018'!$I$47</f>
        <v>0</v>
      </c>
      <c r="J91" s="394"/>
      <c r="K91" s="395"/>
      <c r="L91" s="396"/>
      <c r="M91" s="397"/>
      <c r="N91" s="398"/>
      <c r="O91" s="576"/>
      <c r="P91" s="812"/>
      <c r="Q91" s="575"/>
      <c r="R91" s="399"/>
      <c r="S91" s="400"/>
      <c r="T91" s="263"/>
      <c r="V91" s="264"/>
      <c r="Y91" s="1"/>
    </row>
    <row r="92" spans="1:25" s="216" customFormat="1" ht="18.75" thickBot="1" x14ac:dyDescent="0.3">
      <c r="A92" s="8"/>
      <c r="B92" s="265" t="s">
        <v>135</v>
      </c>
      <c r="C92" s="266"/>
      <c r="D92" s="267"/>
      <c r="E92" s="268"/>
      <c r="F92" s="268"/>
      <c r="G92" s="594">
        <f>G4+G15+G29+G30+G31+G39+G40+G51+G52+G53+G54+G55+G59+G60+G61+G64+G66+G75+G76+G81+G85+G88</f>
        <v>1039971380.28</v>
      </c>
      <c r="H92" s="269">
        <f>G92/$G$92</f>
        <v>1</v>
      </c>
      <c r="I92" s="270"/>
      <c r="J92" s="271"/>
      <c r="K92" s="272"/>
      <c r="L92" s="273"/>
      <c r="M92" s="274"/>
      <c r="N92" s="275"/>
      <c r="O92" s="577"/>
      <c r="P92" s="579">
        <f>SUM(P5+P16+P41+P56+P57+P62+P65+P67+P77+P82+P86+P89+P90)</f>
        <v>0.80628239735235874</v>
      </c>
      <c r="Q92" s="578"/>
      <c r="R92" s="276"/>
      <c r="S92" s="277"/>
      <c r="T92" s="263"/>
      <c r="V92" s="264"/>
      <c r="Y92" s="1"/>
    </row>
    <row r="93" spans="1:25" s="216" customFormat="1" x14ac:dyDescent="0.25">
      <c r="A93" s="1"/>
      <c r="B93" s="278" t="str">
        <f>'[1]FFIN2 Abril 2018'!$B$72</f>
        <v>Meta Atuarial(INPC 0,21 + 0,486755)</v>
      </c>
      <c r="C93" s="278"/>
      <c r="D93" s="279"/>
      <c r="E93" s="279">
        <f>'[1]FFIN2 Abril 2018'!$E$72</f>
        <v>6.9769999999999997E-3</v>
      </c>
      <c r="F93" s="279"/>
      <c r="G93" s="278" t="s">
        <v>136</v>
      </c>
      <c r="H93" s="280">
        <f>'[1]FFIN2 Abril 2018'!$H$72</f>
        <v>8.8000000000000005E-3</v>
      </c>
      <c r="I93" s="281"/>
      <c r="J93" s="278" t="s">
        <v>137</v>
      </c>
      <c r="K93" s="280">
        <f>'[1]FFIN2 Abril 2018'!$K$72</f>
        <v>-8.6E-3</v>
      </c>
      <c r="L93" s="281"/>
      <c r="M93" s="282" t="s">
        <v>138</v>
      </c>
      <c r="N93" s="280">
        <f>'[1]FFIN2 Abril 2018'!$N$72</f>
        <v>4.6620000000000003E-3</v>
      </c>
      <c r="O93" s="1"/>
      <c r="P93" s="280" t="s">
        <v>317</v>
      </c>
      <c r="Q93" s="1"/>
      <c r="R93" s="280"/>
      <c r="S93" s="283">
        <v>5.1700000000000003E-2</v>
      </c>
      <c r="Y93" s="1"/>
    </row>
    <row r="94" spans="1:25" s="216" customFormat="1" x14ac:dyDescent="0.25">
      <c r="A94" s="1"/>
      <c r="B94" s="278" t="s">
        <v>335</v>
      </c>
      <c r="C94" s="284"/>
      <c r="D94" s="278"/>
      <c r="E94" s="285">
        <v>3.5000000000000001E-3</v>
      </c>
      <c r="F94" s="280"/>
      <c r="G94" s="278" t="s">
        <v>140</v>
      </c>
      <c r="H94" s="280">
        <f>'[1]FFIN2 Abril 2018'!$H$73</f>
        <v>8.2000000000000007E-3</v>
      </c>
      <c r="I94" s="278"/>
      <c r="J94" s="278" t="s">
        <v>141</v>
      </c>
      <c r="K94" s="280">
        <f>'[1]FFIN2 Abril 2018'!$K$73</f>
        <v>-1.438E-3</v>
      </c>
      <c r="L94" s="280"/>
      <c r="M94" s="282" t="s">
        <v>142</v>
      </c>
      <c r="N94" s="280">
        <f>'[1]FFIN2 Abril 2018'!$N$73</f>
        <v>5.0549999999999996E-3</v>
      </c>
      <c r="O94" s="1"/>
      <c r="P94" s="286" t="s">
        <v>143</v>
      </c>
      <c r="Q94" s="1"/>
      <c r="R94" s="1"/>
      <c r="S94" s="283">
        <v>2.6200000000000001E-2</v>
      </c>
      <c r="Y94" s="1"/>
    </row>
    <row r="95" spans="1:25" s="216" customFormat="1" x14ac:dyDescent="0.25">
      <c r="A95" s="1"/>
      <c r="B95" s="278" t="s">
        <v>144</v>
      </c>
      <c r="C95" s="1"/>
      <c r="D95" s="280"/>
      <c r="E95" s="280">
        <f>'[1]FFIN2 Abril 2018'!$E$74</f>
        <v>2.0999999999999999E-3</v>
      </c>
      <c r="F95" s="280"/>
      <c r="G95" s="278" t="s">
        <v>145</v>
      </c>
      <c r="H95" s="280">
        <f>'[1]FFIN2 Abril 2018'!$H$74</f>
        <v>6.4000000000000003E-3</v>
      </c>
      <c r="I95" s="278"/>
      <c r="J95" s="278" t="s">
        <v>146</v>
      </c>
      <c r="K95" s="280">
        <f>'[1]FFIN2 Abril 2018'!$K$74</f>
        <v>3.1840000000000002E-3</v>
      </c>
      <c r="L95" s="280"/>
      <c r="M95" s="282" t="s">
        <v>147</v>
      </c>
      <c r="N95" s="280">
        <f>'[1]FFIN2 Abril 2018'!$N$74</f>
        <v>4.5319999999999996E-3</v>
      </c>
      <c r="O95" s="280"/>
      <c r="P95" s="286" t="s">
        <v>318</v>
      </c>
      <c r="Q95" s="1"/>
      <c r="R95" s="1"/>
      <c r="S95" s="283">
        <v>0.14360000000000001</v>
      </c>
      <c r="T95" s="287"/>
      <c r="Y95" s="1"/>
    </row>
    <row r="96" spans="1:25" s="216" customFormat="1" x14ac:dyDescent="0.25">
      <c r="A96" s="1"/>
      <c r="B96" s="278" t="s">
        <v>118</v>
      </c>
      <c r="C96" s="280"/>
      <c r="D96" s="280"/>
      <c r="E96" s="288">
        <f>'[1]FFIN2 Abril 2018'!$E$75</f>
        <v>5.1999999999999998E-3</v>
      </c>
      <c r="F96" s="288"/>
      <c r="G96" s="278" t="s">
        <v>148</v>
      </c>
      <c r="H96" s="280">
        <f>'[1]FFIN2 Abril 2018'!$H$75</f>
        <v>2.3699999999999999E-2</v>
      </c>
      <c r="I96" s="278"/>
      <c r="J96" s="278" t="s">
        <v>149</v>
      </c>
      <c r="K96" s="280">
        <f>'[1]FFIN2 Abril 2018'!$K$75</f>
        <v>4.215E-3</v>
      </c>
      <c r="L96" s="280"/>
      <c r="M96" s="282" t="s">
        <v>150</v>
      </c>
      <c r="N96" s="280">
        <f>'[1]FFIN2 Abril 2018'!$N$75</f>
        <v>9.7990000000000004E-3</v>
      </c>
      <c r="O96" s="280"/>
      <c r="P96" s="286" t="s">
        <v>151</v>
      </c>
      <c r="Q96" s="1"/>
      <c r="R96" s="1"/>
      <c r="S96" s="283">
        <v>7.7700000000000005E-2</v>
      </c>
      <c r="Y96" s="1"/>
    </row>
    <row r="97" spans="1:25" s="216" customFormat="1" x14ac:dyDescent="0.25">
      <c r="A97" s="1"/>
      <c r="B97" s="278" t="s">
        <v>80</v>
      </c>
      <c r="C97" s="1"/>
      <c r="D97" s="280"/>
      <c r="E97" s="288">
        <f>'[1]FFIN2 Abril 2018'!$E$76</f>
        <v>2.2000000000000001E-3</v>
      </c>
      <c r="F97" s="288"/>
      <c r="G97" s="278" t="s">
        <v>112</v>
      </c>
      <c r="H97" s="280">
        <f>'[1]FFIN2 Abril 2018'!$H$76</f>
        <v>-1.4200000000000001E-2</v>
      </c>
      <c r="I97" s="1"/>
      <c r="J97" s="278" t="s">
        <v>152</v>
      </c>
      <c r="K97" s="280">
        <f>'[1]FFIN2 Abril 2018'!$K$76</f>
        <v>-6.2899999999999996E-3</v>
      </c>
      <c r="L97" s="1"/>
      <c r="M97" s="282" t="s">
        <v>153</v>
      </c>
      <c r="N97" s="280">
        <f>'[1]FFIN2 Abril 2018'!$N$76</f>
        <v>5.1460000000000004E-3</v>
      </c>
      <c r="O97" s="280"/>
      <c r="P97" s="286"/>
      <c r="Q97" s="1"/>
      <c r="R97" s="1"/>
      <c r="S97" s="289">
        <f>'[2]FFPREV Abril 2018'!$G$48</f>
        <v>253585360.12999997</v>
      </c>
      <c r="T97" s="290"/>
      <c r="Y97" s="1"/>
    </row>
    <row r="98" spans="1:25" s="216" customFormat="1" x14ac:dyDescent="0.25">
      <c r="A98" s="1"/>
      <c r="B98" s="1"/>
      <c r="C98" s="1"/>
      <c r="D98" s="1"/>
      <c r="E98" s="1"/>
      <c r="F98" s="1"/>
      <c r="G98" s="278"/>
      <c r="H98" s="280" t="s">
        <v>154</v>
      </c>
      <c r="I98" s="1"/>
      <c r="J98" s="278"/>
      <c r="K98" s="280"/>
      <c r="L98" s="1"/>
      <c r="M98" s="282"/>
      <c r="N98" s="291"/>
      <c r="O98" s="280"/>
      <c r="P98" s="1"/>
      <c r="Q98" s="1"/>
      <c r="R98" s="1"/>
      <c r="S98" s="292">
        <f>'[1]FFIN2 Abril 2018'!$G$71</f>
        <v>786386020.14999998</v>
      </c>
      <c r="Y98" s="1"/>
    </row>
    <row r="99" spans="1:25" s="1" customFormat="1" x14ac:dyDescent="0.25">
      <c r="D99" t="s">
        <v>155</v>
      </c>
      <c r="G99" s="293">
        <f>S99</f>
        <v>1039971380.28</v>
      </c>
      <c r="H99" s="280"/>
      <c r="J99" s="278"/>
      <c r="K99" s="280"/>
      <c r="M99" s="294"/>
      <c r="N99" s="291"/>
      <c r="O99" s="280"/>
      <c r="S99" s="295">
        <f>S97+S98</f>
        <v>1039971380.28</v>
      </c>
      <c r="T99" s="216"/>
      <c r="U99" s="216"/>
      <c r="V99" s="216"/>
      <c r="W99" s="216"/>
      <c r="X99" s="216"/>
    </row>
    <row r="100" spans="1:25" s="7" customFormat="1" x14ac:dyDescent="0.25">
      <c r="A100"/>
      <c r="B100"/>
      <c r="C100"/>
      <c r="D100"/>
      <c r="E100"/>
      <c r="F100"/>
      <c r="G100" s="296"/>
      <c r="H100" s="280"/>
      <c r="I100" s="1"/>
      <c r="J100" s="278"/>
      <c r="K100" s="280"/>
      <c r="L100" s="1"/>
      <c r="M100" s="294"/>
      <c r="N100" s="300"/>
      <c r="O100"/>
      <c r="P100"/>
      <c r="Q100"/>
      <c r="R100"/>
      <c r="S100" s="295"/>
      <c r="Y100"/>
    </row>
    <row r="101" spans="1:25" s="7" customFormat="1" x14ac:dyDescent="0.25">
      <c r="A101"/>
      <c r="B101" s="278"/>
      <c r="C101" s="278"/>
      <c r="D101" s="278"/>
      <c r="E101" s="279"/>
      <c r="F101" s="279"/>
      <c r="G101" s="296"/>
      <c r="H101" s="291"/>
      <c r="I101" s="1"/>
      <c r="J101" s="1"/>
      <c r="K101" s="1"/>
      <c r="L101" s="1"/>
      <c r="M101" s="294"/>
      <c r="N101" s="300"/>
      <c r="O101"/>
      <c r="P101"/>
      <c r="Q101"/>
      <c r="R101"/>
      <c r="S101"/>
      <c r="Y101"/>
    </row>
    <row r="102" spans="1:25" s="7" customFormat="1" x14ac:dyDescent="0.25">
      <c r="A102"/>
      <c r="B102" s="278"/>
      <c r="C102" s="278"/>
      <c r="D102" s="278"/>
      <c r="E102" s="280"/>
      <c r="F102" s="280"/>
      <c r="G102" s="301"/>
      <c r="H102" s="291"/>
      <c r="I102" s="1"/>
      <c r="J102" s="1"/>
      <c r="K102" s="1"/>
      <c r="L102" s="1"/>
      <c r="M102" s="294"/>
      <c r="N102" s="300"/>
      <c r="O102"/>
      <c r="P102"/>
      <c r="Q102"/>
      <c r="R102"/>
      <c r="S102"/>
      <c r="Y102"/>
    </row>
    <row r="103" spans="1:25" s="7" customFormat="1" x14ac:dyDescent="0.25">
      <c r="A103"/>
      <c r="B103" s="278"/>
      <c r="C103" s="1"/>
      <c r="D103" s="280"/>
      <c r="E103" s="280"/>
      <c r="F103" s="280"/>
      <c r="G103" s="296"/>
      <c r="H103" s="291"/>
      <c r="I103" s="1"/>
      <c r="J103" s="1"/>
      <c r="K103" s="1"/>
      <c r="L103" s="1"/>
      <c r="M103" s="294"/>
      <c r="N103" s="300"/>
      <c r="O103"/>
      <c r="P103"/>
      <c r="Q103"/>
      <c r="R103"/>
      <c r="S103"/>
      <c r="Y103"/>
    </row>
    <row r="104" spans="1:25" s="7" customFormat="1" x14ac:dyDescent="0.25">
      <c r="A104"/>
      <c r="B104" s="278"/>
      <c r="C104" s="280"/>
      <c r="D104" s="280"/>
      <c r="E104" s="286"/>
      <c r="F104" s="286"/>
      <c r="G104" s="296"/>
      <c r="H104" s="291"/>
      <c r="I104" s="1"/>
      <c r="J104" s="1"/>
      <c r="K104" s="1"/>
      <c r="L104" s="1"/>
      <c r="M104" s="294" t="s">
        <v>156</v>
      </c>
      <c r="N104" s="300"/>
      <c r="O104"/>
      <c r="P104"/>
      <c r="Q104"/>
      <c r="R104"/>
      <c r="S104"/>
      <c r="Y104"/>
    </row>
    <row r="105" spans="1:25" s="7" customFormat="1" x14ac:dyDescent="0.25">
      <c r="A105"/>
      <c r="B105" s="278" t="s">
        <v>60</v>
      </c>
      <c r="C105" s="1"/>
      <c r="D105" s="280" t="s">
        <v>157</v>
      </c>
      <c r="E105" s="302">
        <v>1.9E-3</v>
      </c>
      <c r="F105" s="1"/>
      <c r="G105" s="296">
        <f>G4+G15+G29+G30+G31+G39+G40+G51+G52+G53+G54+G55+G59+G60</f>
        <v>851091907.4000001</v>
      </c>
      <c r="H105" s="291">
        <f>G105/G108</f>
        <v>0.81838012424039375</v>
      </c>
      <c r="I105" s="1"/>
      <c r="J105" s="1" t="s">
        <v>60</v>
      </c>
      <c r="K105" s="1"/>
      <c r="L105" s="1"/>
      <c r="M105" s="629">
        <f>G119</f>
        <v>851091907.4000001</v>
      </c>
      <c r="N105" s="300">
        <f>M105/M108</f>
        <v>0.81838012424039375</v>
      </c>
      <c r="O105"/>
      <c r="P105"/>
      <c r="Q105"/>
      <c r="R105"/>
      <c r="S105"/>
      <c r="Y105"/>
    </row>
    <row r="106" spans="1:25" s="7" customFormat="1" x14ac:dyDescent="0.25">
      <c r="A106"/>
      <c r="B106" t="s">
        <v>96</v>
      </c>
      <c r="C106"/>
      <c r="D106" s="280" t="s">
        <v>157</v>
      </c>
      <c r="E106" s="302">
        <v>1.06E-2</v>
      </c>
      <c r="F106"/>
      <c r="G106" s="296">
        <f>G61+G64+G66+G75+G76+G81+G85</f>
        <v>187826948.09999996</v>
      </c>
      <c r="H106" s="291">
        <f>G106/G108</f>
        <v>0.18060780485077366</v>
      </c>
      <c r="I106" s="1"/>
      <c r="J106" s="1" t="s">
        <v>96</v>
      </c>
      <c r="K106" s="1"/>
      <c r="L106" s="1"/>
      <c r="M106" s="629">
        <f>G134</f>
        <v>187826948.09999996</v>
      </c>
      <c r="N106" s="300">
        <f>M106/M108</f>
        <v>0.18060780485077366</v>
      </c>
      <c r="O106"/>
      <c r="P106"/>
      <c r="Q106"/>
      <c r="R106"/>
      <c r="S106"/>
      <c r="Y106"/>
    </row>
    <row r="107" spans="1:25" s="7" customFormat="1" x14ac:dyDescent="0.25">
      <c r="A107"/>
      <c r="B107" t="s">
        <v>158</v>
      </c>
      <c r="C107"/>
      <c r="D107"/>
      <c r="E107" s="304"/>
      <c r="F107"/>
      <c r="G107" s="296">
        <f>G88</f>
        <v>1052524.78</v>
      </c>
      <c r="H107" s="291">
        <f>G107/G108</f>
        <v>1.0120709088327221E-3</v>
      </c>
      <c r="I107" s="1"/>
      <c r="J107" s="1" t="s">
        <v>159</v>
      </c>
      <c r="K107" s="1"/>
      <c r="L107" s="1"/>
      <c r="M107" s="629">
        <f>G142</f>
        <v>1052524.78</v>
      </c>
      <c r="N107" s="300">
        <f>M107/M108</f>
        <v>1.0120709088327221E-3</v>
      </c>
      <c r="O107"/>
      <c r="P107"/>
      <c r="Q107"/>
      <c r="R107"/>
      <c r="S107"/>
      <c r="Y107"/>
    </row>
    <row r="108" spans="1:25" s="7" customFormat="1" x14ac:dyDescent="0.25">
      <c r="A108"/>
      <c r="B108"/>
      <c r="C108"/>
      <c r="D108"/>
      <c r="E108" s="302">
        <v>3.5000000000000001E-3</v>
      </c>
      <c r="F108"/>
      <c r="G108" s="296">
        <f>G105+G106+G107</f>
        <v>1039971380.28</v>
      </c>
      <c r="H108" s="291">
        <f>SUM(H105:H107)</f>
        <v>1.0000000000000002</v>
      </c>
      <c r="I108" s="1"/>
      <c r="J108" s="216" t="s">
        <v>160</v>
      </c>
      <c r="K108" s="216"/>
      <c r="L108" s="216"/>
      <c r="M108" s="629">
        <f>M105+M106+M107</f>
        <v>1039971380.28</v>
      </c>
      <c r="N108" s="300">
        <f>N105+N106+N107</f>
        <v>1.0000000000000002</v>
      </c>
      <c r="O108"/>
      <c r="P108"/>
      <c r="Q108"/>
      <c r="R108"/>
      <c r="S108"/>
      <c r="Y108"/>
    </row>
    <row r="109" spans="1:25" s="7" customFormat="1" x14ac:dyDescent="0.25">
      <c r="A109"/>
      <c r="B109"/>
      <c r="C109"/>
      <c r="D109"/>
      <c r="E109" s="305"/>
      <c r="F109"/>
      <c r="G109" s="1"/>
      <c r="H109" s="291"/>
      <c r="I109" s="1"/>
      <c r="J109" s="1"/>
      <c r="K109" s="1"/>
      <c r="L109" s="1"/>
      <c r="M109" s="294"/>
      <c r="N109" s="300"/>
      <c r="O109"/>
      <c r="P109"/>
      <c r="Q109"/>
      <c r="R109"/>
      <c r="S109"/>
      <c r="Y109"/>
    </row>
    <row r="110" spans="1:25" s="7" customFormat="1" x14ac:dyDescent="0.25">
      <c r="A110"/>
      <c r="B110"/>
      <c r="C110"/>
      <c r="D110"/>
      <c r="E110"/>
      <c r="F110"/>
      <c r="G110" s="1"/>
      <c r="H110" s="291"/>
      <c r="I110" s="1"/>
      <c r="J110" s="1"/>
      <c r="K110" s="1"/>
      <c r="L110" s="1"/>
      <c r="M110" s="294"/>
      <c r="N110" s="300"/>
      <c r="O110"/>
      <c r="P110"/>
      <c r="Q110"/>
      <c r="R110"/>
      <c r="S110"/>
      <c r="Y110"/>
    </row>
    <row r="111" spans="1:25" s="7" customFormat="1" x14ac:dyDescent="0.25">
      <c r="A111"/>
      <c r="B111"/>
      <c r="C111"/>
      <c r="D111"/>
      <c r="E111"/>
      <c r="F111"/>
      <c r="G111" s="1"/>
      <c r="H111" s="291"/>
      <c r="I111" s="1"/>
      <c r="J111" s="1"/>
      <c r="K111" s="1"/>
      <c r="L111" s="1"/>
      <c r="M111" s="294"/>
      <c r="N111" s="300"/>
      <c r="O111"/>
      <c r="P111"/>
      <c r="Q111"/>
      <c r="R111"/>
      <c r="S111"/>
      <c r="Y111"/>
    </row>
    <row r="112" spans="1:25" x14ac:dyDescent="0.25">
      <c r="A112" s="545"/>
      <c r="B112" s="545"/>
      <c r="C112" s="545"/>
      <c r="D112" s="546"/>
      <c r="E112" s="545"/>
      <c r="F112" s="545"/>
      <c r="G112" s="547"/>
      <c r="H112" s="548"/>
      <c r="I112" s="545"/>
      <c r="J112" s="286"/>
      <c r="K112" s="548"/>
      <c r="L112" s="545"/>
      <c r="M112" s="545"/>
      <c r="N112" s="545"/>
      <c r="O112" s="548"/>
      <c r="P112" s="549"/>
      <c r="Q112" s="545"/>
      <c r="R112" s="545"/>
      <c r="S112" s="550"/>
      <c r="T112" s="550"/>
    </row>
    <row r="113" spans="1:20" x14ac:dyDescent="0.25">
      <c r="A113" s="545"/>
      <c r="B113" s="545"/>
      <c r="C113" s="545"/>
      <c r="D113" s="286" t="s">
        <v>167</v>
      </c>
      <c r="E113" s="551"/>
      <c r="F113" s="545"/>
      <c r="G113" s="598">
        <f>G119</f>
        <v>851091907.4000001</v>
      </c>
      <c r="H113" s="596">
        <f>G113/G116</f>
        <v>0.81838012424039375</v>
      </c>
      <c r="I113" s="545"/>
      <c r="J113" s="286"/>
      <c r="K113" s="548"/>
      <c r="L113" s="545"/>
      <c r="M113" s="545"/>
      <c r="N113" s="545"/>
      <c r="O113" s="548"/>
      <c r="P113" s="549"/>
      <c r="Q113" s="545"/>
      <c r="R113" s="545"/>
      <c r="S113" s="552"/>
      <c r="T113" s="552"/>
    </row>
    <row r="114" spans="1:20" x14ac:dyDescent="0.25">
      <c r="A114" s="545" t="s">
        <v>246</v>
      </c>
      <c r="B114" s="545" t="s">
        <v>247</v>
      </c>
      <c r="C114" s="545"/>
      <c r="D114" s="286" t="s">
        <v>248</v>
      </c>
      <c r="E114" s="551"/>
      <c r="F114" s="545"/>
      <c r="G114" s="598">
        <f>G134</f>
        <v>187826948.09999996</v>
      </c>
      <c r="H114" s="596">
        <f>G114/G116</f>
        <v>0.18060780485077366</v>
      </c>
      <c r="I114" s="545"/>
      <c r="J114" s="286"/>
      <c r="K114" s="548"/>
      <c r="L114" s="545"/>
      <c r="M114" s="545"/>
      <c r="N114" s="545"/>
      <c r="O114" s="548"/>
      <c r="P114" s="549"/>
      <c r="Q114" s="545"/>
      <c r="R114" s="545"/>
      <c r="S114" s="552"/>
      <c r="T114" s="552"/>
    </row>
    <row r="115" spans="1:20" x14ac:dyDescent="0.25">
      <c r="A115" s="545">
        <v>2011</v>
      </c>
      <c r="B115" s="553" t="s">
        <v>249</v>
      </c>
      <c r="C115" s="545"/>
      <c r="D115" s="286"/>
      <c r="E115" s="551"/>
      <c r="F115" s="545"/>
      <c r="G115" s="598">
        <f>G142</f>
        <v>1052524.78</v>
      </c>
      <c r="H115" s="596">
        <f>G115/G116</f>
        <v>1.0120709088327221E-3</v>
      </c>
      <c r="I115" s="545"/>
      <c r="J115" s="286"/>
      <c r="K115" s="548"/>
      <c r="L115" s="545"/>
      <c r="M115" s="545"/>
      <c r="N115" s="545"/>
      <c r="O115" s="548"/>
      <c r="P115" s="549"/>
      <c r="Q115" s="545"/>
      <c r="R115" s="545"/>
      <c r="S115" s="552"/>
      <c r="T115" s="552"/>
    </row>
    <row r="116" spans="1:20" x14ac:dyDescent="0.25">
      <c r="A116" s="545">
        <v>2012</v>
      </c>
      <c r="B116" s="553" t="s">
        <v>250</v>
      </c>
      <c r="C116" s="545">
        <v>22.41</v>
      </c>
      <c r="D116" s="286"/>
      <c r="E116" s="551"/>
      <c r="F116" s="545"/>
      <c r="G116" s="600">
        <f>G113+G114+G115</f>
        <v>1039971380.28</v>
      </c>
      <c r="H116" s="596">
        <f>SUM(H113:H115)</f>
        <v>1.0000000000000002</v>
      </c>
      <c r="I116" s="545"/>
      <c r="J116" s="286"/>
      <c r="K116" s="548"/>
      <c r="L116" s="545"/>
      <c r="M116" s="545"/>
      <c r="N116" s="545"/>
      <c r="O116" s="548"/>
      <c r="P116" s="549"/>
      <c r="Q116" s="545"/>
      <c r="R116" s="545"/>
      <c r="S116" s="552"/>
      <c r="T116" s="552"/>
    </row>
    <row r="117" spans="1:20" x14ac:dyDescent="0.25">
      <c r="A117" s="545">
        <v>2013</v>
      </c>
      <c r="B117" s="545" t="s">
        <v>251</v>
      </c>
      <c r="C117" s="545"/>
      <c r="D117" s="546"/>
      <c r="E117" s="545"/>
      <c r="F117" s="545"/>
      <c r="G117" s="293"/>
      <c r="H117" s="596"/>
      <c r="I117" s="545"/>
      <c r="J117" s="286"/>
      <c r="K117" s="548"/>
      <c r="L117" s="545"/>
      <c r="M117" s="545"/>
      <c r="N117" s="545"/>
      <c r="O117" s="548"/>
      <c r="P117" s="549"/>
      <c r="Q117" s="545"/>
      <c r="R117" s="545"/>
      <c r="S117" s="552"/>
      <c r="T117" s="552"/>
    </row>
    <row r="118" spans="1:20" ht="18.75" x14ac:dyDescent="0.3">
      <c r="A118" s="545">
        <v>2014</v>
      </c>
      <c r="B118" s="545" t="s">
        <v>252</v>
      </c>
      <c r="C118" s="546"/>
      <c r="D118" s="566" t="s">
        <v>329</v>
      </c>
      <c r="E118" s="566"/>
      <c r="F118" s="566"/>
      <c r="G118" s="630">
        <f>G119+G134+G142</f>
        <v>1039971380.28</v>
      </c>
      <c r="H118" s="596">
        <f t="shared" ref="H118:H142" si="11">G118/$G$116</f>
        <v>1</v>
      </c>
      <c r="I118" s="545"/>
      <c r="J118" s="545"/>
      <c r="M118" s="545"/>
      <c r="N118" s="546"/>
      <c r="O118" s="546"/>
      <c r="P118" s="556"/>
      <c r="Q118" s="546"/>
      <c r="R118" s="546"/>
      <c r="S118" s="552"/>
      <c r="T118" s="552"/>
    </row>
    <row r="119" spans="1:20" x14ac:dyDescent="0.25">
      <c r="A119" s="545">
        <v>2015</v>
      </c>
      <c r="B119" s="557" t="s">
        <v>255</v>
      </c>
      <c r="C119" s="286"/>
      <c r="D119" s="558" t="s">
        <v>235</v>
      </c>
      <c r="E119" s="559"/>
      <c r="F119" s="559"/>
      <c r="G119" s="630">
        <f>SUM(G120:G133)</f>
        <v>851091907.4000001</v>
      </c>
      <c r="H119" s="597">
        <f t="shared" si="11"/>
        <v>0.81838012424039375</v>
      </c>
      <c r="I119" s="548" t="s">
        <v>253</v>
      </c>
      <c r="J119" s="631" t="s">
        <v>254</v>
      </c>
      <c r="M119" s="545"/>
      <c r="N119" s="546"/>
      <c r="O119" s="546"/>
      <c r="P119" s="556"/>
      <c r="Q119" s="546"/>
      <c r="R119" s="546"/>
      <c r="S119" s="546"/>
      <c r="T119" s="546"/>
    </row>
    <row r="120" spans="1:20" x14ac:dyDescent="0.25">
      <c r="A120" s="545">
        <v>2016</v>
      </c>
      <c r="B120" s="557" t="s">
        <v>256</v>
      </c>
      <c r="C120" s="286"/>
      <c r="D120" s="560" t="s">
        <v>315</v>
      </c>
      <c r="E120" s="545"/>
      <c r="F120" s="545"/>
      <c r="G120" s="598">
        <f>G4</f>
        <v>167833426.24000001</v>
      </c>
      <c r="H120" s="597">
        <f t="shared" si="11"/>
        <v>0.16138273554683097</v>
      </c>
      <c r="I120" s="549">
        <v>1</v>
      </c>
      <c r="J120" s="549">
        <v>0.4</v>
      </c>
      <c r="M120" s="545"/>
      <c r="N120" s="546"/>
      <c r="O120" s="546"/>
      <c r="P120" s="556"/>
      <c r="Q120" s="546"/>
      <c r="R120" s="546"/>
      <c r="S120" s="546"/>
      <c r="T120" s="546"/>
    </row>
    <row r="121" spans="1:20" x14ac:dyDescent="0.25">
      <c r="A121" s="546">
        <v>2017</v>
      </c>
      <c r="B121" s="557" t="s">
        <v>314</v>
      </c>
      <c r="C121" s="286"/>
      <c r="D121" s="560" t="s">
        <v>276</v>
      </c>
      <c r="E121" s="545"/>
      <c r="F121" s="545"/>
      <c r="G121" s="598">
        <f>G15</f>
        <v>400936004.05999994</v>
      </c>
      <c r="H121" s="597">
        <f t="shared" si="11"/>
        <v>0.38552599779433611</v>
      </c>
      <c r="I121" s="549">
        <v>1</v>
      </c>
      <c r="J121" s="549">
        <v>0.5</v>
      </c>
      <c r="M121" s="545"/>
      <c r="N121" s="546"/>
      <c r="O121" s="546"/>
      <c r="P121" s="556"/>
      <c r="Q121" s="546"/>
      <c r="R121" s="546"/>
      <c r="S121" s="546"/>
      <c r="T121" s="546"/>
    </row>
    <row r="122" spans="1:20" x14ac:dyDescent="0.25">
      <c r="A122" s="546"/>
      <c r="B122" s="286"/>
      <c r="C122" s="286"/>
      <c r="D122" s="560" t="s">
        <v>277</v>
      </c>
      <c r="E122" s="545"/>
      <c r="F122" s="545"/>
      <c r="G122" s="598">
        <f>G29</f>
        <v>0</v>
      </c>
      <c r="H122" s="597">
        <f t="shared" si="11"/>
        <v>0</v>
      </c>
      <c r="I122" s="549">
        <v>1</v>
      </c>
      <c r="J122" s="549">
        <v>0</v>
      </c>
      <c r="M122" s="545"/>
      <c r="N122" s="546"/>
      <c r="O122" s="546"/>
      <c r="P122" s="556"/>
      <c r="Q122" s="546"/>
      <c r="R122" s="546"/>
      <c r="S122" s="546"/>
      <c r="T122" s="546"/>
    </row>
    <row r="123" spans="1:20" x14ac:dyDescent="0.25">
      <c r="A123" s="546"/>
      <c r="B123" s="286"/>
      <c r="C123" s="286"/>
      <c r="D123" s="561" t="s">
        <v>278</v>
      </c>
      <c r="E123" s="548"/>
      <c r="F123" s="548"/>
      <c r="G123" s="598">
        <f>G30</f>
        <v>0</v>
      </c>
      <c r="H123" s="597">
        <f t="shared" si="11"/>
        <v>0</v>
      </c>
      <c r="I123" s="549">
        <v>0.05</v>
      </c>
      <c r="J123" s="549">
        <v>0</v>
      </c>
      <c r="M123" s="545"/>
      <c r="N123" s="546"/>
      <c r="O123" s="546"/>
      <c r="P123" s="556"/>
      <c r="Q123" s="546"/>
      <c r="R123" s="546"/>
      <c r="S123" s="546"/>
      <c r="T123" s="546"/>
    </row>
    <row r="124" spans="1:20" x14ac:dyDescent="0.25">
      <c r="A124" s="546"/>
      <c r="B124" s="286"/>
      <c r="C124" s="286"/>
      <c r="D124" s="561" t="s">
        <v>279</v>
      </c>
      <c r="E124" s="548"/>
      <c r="F124" s="548"/>
      <c r="G124" s="598">
        <f>G31</f>
        <v>201460762.61000001</v>
      </c>
      <c r="H124" s="597">
        <f t="shared" si="11"/>
        <v>0.19371760264764121</v>
      </c>
      <c r="I124" s="549">
        <v>0.6</v>
      </c>
      <c r="J124" s="549">
        <v>0.35</v>
      </c>
      <c r="M124" s="545"/>
      <c r="N124" s="546"/>
      <c r="O124" s="546"/>
      <c r="P124" s="556"/>
      <c r="Q124" s="546"/>
      <c r="R124" s="546"/>
      <c r="S124" s="546"/>
      <c r="T124" s="546"/>
    </row>
    <row r="125" spans="1:20" x14ac:dyDescent="0.25">
      <c r="A125" s="546"/>
      <c r="B125" s="286"/>
      <c r="C125" s="545"/>
      <c r="D125" s="560" t="s">
        <v>280</v>
      </c>
      <c r="E125" s="548"/>
      <c r="F125" s="548"/>
      <c r="G125" s="598">
        <f>G39</f>
        <v>0</v>
      </c>
      <c r="H125" s="597">
        <f t="shared" si="11"/>
        <v>0</v>
      </c>
      <c r="I125" s="549">
        <v>0.6</v>
      </c>
      <c r="J125" s="549">
        <v>0</v>
      </c>
      <c r="M125" s="545"/>
      <c r="N125" s="546"/>
      <c r="O125" s="546"/>
      <c r="P125" s="556"/>
      <c r="Q125" s="546"/>
      <c r="R125" s="546"/>
      <c r="S125" s="546"/>
      <c r="T125" s="546"/>
    </row>
    <row r="126" spans="1:20" x14ac:dyDescent="0.25">
      <c r="A126" s="546"/>
      <c r="B126" s="286"/>
      <c r="C126" s="548"/>
      <c r="D126" s="560" t="s">
        <v>281</v>
      </c>
      <c r="E126" s="286"/>
      <c r="F126" s="286"/>
      <c r="G126" s="598">
        <f>G40</f>
        <v>73722660.300000012</v>
      </c>
      <c r="H126" s="597">
        <f t="shared" si="11"/>
        <v>7.0889124160465902E-2</v>
      </c>
      <c r="I126" s="549">
        <v>0.4</v>
      </c>
      <c r="J126" s="549">
        <v>0.3</v>
      </c>
      <c r="M126" s="545"/>
      <c r="N126" s="546"/>
      <c r="O126" s="546"/>
      <c r="P126" s="556"/>
      <c r="Q126" s="546"/>
      <c r="R126" s="546"/>
      <c r="S126" s="546"/>
      <c r="T126" s="546"/>
    </row>
    <row r="127" spans="1:20" x14ac:dyDescent="0.25">
      <c r="A127" s="546"/>
      <c r="B127" s="286"/>
      <c r="C127" s="548"/>
      <c r="D127" s="560" t="s">
        <v>282</v>
      </c>
      <c r="E127" s="286"/>
      <c r="F127" s="286"/>
      <c r="G127" s="598">
        <f>G51</f>
        <v>0</v>
      </c>
      <c r="H127" s="597">
        <f t="shared" si="11"/>
        <v>0</v>
      </c>
      <c r="I127" s="549">
        <v>0.4</v>
      </c>
      <c r="J127" s="549">
        <v>0</v>
      </c>
      <c r="K127" s="549"/>
      <c r="L127" s="549"/>
      <c r="M127" s="545"/>
      <c r="N127" s="546"/>
      <c r="O127" s="546"/>
      <c r="P127" s="556"/>
      <c r="Q127" s="546"/>
      <c r="R127" s="546"/>
      <c r="S127" s="546"/>
      <c r="T127" s="546"/>
    </row>
    <row r="128" spans="1:20" x14ac:dyDescent="0.25">
      <c r="A128" s="546"/>
      <c r="B128" s="286"/>
      <c r="C128" s="548"/>
      <c r="D128" s="560" t="s">
        <v>283</v>
      </c>
      <c r="E128" s="286"/>
      <c r="F128" s="286"/>
      <c r="G128" s="598">
        <f>G52</f>
        <v>0</v>
      </c>
      <c r="H128" s="597">
        <f t="shared" si="11"/>
        <v>0</v>
      </c>
      <c r="I128" s="549">
        <v>0.2</v>
      </c>
      <c r="J128" s="549">
        <v>0</v>
      </c>
      <c r="K128" s="549"/>
      <c r="L128" s="549"/>
      <c r="M128" s="545"/>
      <c r="N128" s="546"/>
      <c r="O128" s="546"/>
      <c r="P128" s="556"/>
      <c r="Q128" s="546"/>
      <c r="R128" s="546"/>
      <c r="S128" s="546"/>
      <c r="T128" s="546"/>
    </row>
    <row r="129" spans="1:20" x14ac:dyDescent="0.25">
      <c r="A129" s="546"/>
      <c r="B129" s="286"/>
      <c r="C129" s="548"/>
      <c r="D129" s="560" t="s">
        <v>284</v>
      </c>
      <c r="E129" s="286"/>
      <c r="F129" s="286"/>
      <c r="G129" s="598">
        <f>G53</f>
        <v>0</v>
      </c>
      <c r="H129" s="597">
        <f t="shared" si="11"/>
        <v>0</v>
      </c>
      <c r="I129" s="549">
        <v>0.15</v>
      </c>
      <c r="J129" s="549">
        <v>0</v>
      </c>
      <c r="K129" s="549"/>
      <c r="L129" s="549"/>
      <c r="M129" s="545"/>
      <c r="N129" s="546"/>
      <c r="O129" s="546"/>
      <c r="P129" s="556"/>
      <c r="Q129" s="546"/>
      <c r="R129" s="546"/>
      <c r="S129" s="546"/>
      <c r="T129" s="546"/>
    </row>
    <row r="130" spans="1:20" x14ac:dyDescent="0.25">
      <c r="A130" s="546"/>
      <c r="B130" s="286"/>
      <c r="C130" s="548"/>
      <c r="D130" s="560" t="s">
        <v>285</v>
      </c>
      <c r="E130" s="286"/>
      <c r="F130" s="286"/>
      <c r="G130" s="598">
        <f>G54</f>
        <v>0</v>
      </c>
      <c r="H130" s="597">
        <f t="shared" si="11"/>
        <v>0</v>
      </c>
      <c r="I130" s="549">
        <v>0.15</v>
      </c>
      <c r="J130" s="549">
        <v>0</v>
      </c>
      <c r="K130" s="549"/>
      <c r="L130" s="549"/>
      <c r="M130" s="545"/>
      <c r="N130" s="546"/>
      <c r="O130" s="546"/>
      <c r="P130" s="556"/>
      <c r="Q130" s="546"/>
      <c r="R130" s="546"/>
      <c r="S130" s="546"/>
      <c r="T130" s="546"/>
    </row>
    <row r="131" spans="1:20" x14ac:dyDescent="0.25">
      <c r="A131" s="546"/>
      <c r="B131" s="286"/>
      <c r="C131" s="548"/>
      <c r="D131" s="560" t="s">
        <v>286</v>
      </c>
      <c r="E131" s="286"/>
      <c r="F131" s="286"/>
      <c r="G131" s="598">
        <f>G55</f>
        <v>7139054.1899999995</v>
      </c>
      <c r="H131" s="597">
        <f t="shared" si="11"/>
        <v>6.8646640911194058E-3</v>
      </c>
      <c r="I131" s="549">
        <v>0.05</v>
      </c>
      <c r="J131" s="549">
        <v>0.02</v>
      </c>
      <c r="K131" s="549"/>
      <c r="L131" s="549"/>
      <c r="M131" s="545"/>
      <c r="N131" s="546"/>
      <c r="O131" s="546"/>
      <c r="P131" s="556"/>
      <c r="Q131" s="546"/>
      <c r="R131" s="546"/>
      <c r="S131" s="546"/>
      <c r="T131" s="546"/>
    </row>
    <row r="132" spans="1:20" x14ac:dyDescent="0.25">
      <c r="A132" s="546"/>
      <c r="B132" s="286"/>
      <c r="C132" s="548"/>
      <c r="D132" s="560" t="s">
        <v>287</v>
      </c>
      <c r="E132" s="286"/>
      <c r="F132" s="286"/>
      <c r="G132" s="598">
        <f>G59</f>
        <v>0</v>
      </c>
      <c r="H132" s="597">
        <f t="shared" si="11"/>
        <v>0</v>
      </c>
      <c r="I132" s="549">
        <v>0.05</v>
      </c>
      <c r="J132" s="549">
        <v>0.01</v>
      </c>
      <c r="K132" s="549"/>
      <c r="L132" s="549"/>
      <c r="M132" s="545"/>
      <c r="N132" s="546"/>
      <c r="O132" s="546"/>
      <c r="P132" s="556"/>
      <c r="Q132" s="546"/>
      <c r="R132" s="546"/>
      <c r="S132" s="546"/>
      <c r="T132" s="546"/>
    </row>
    <row r="133" spans="1:20" x14ac:dyDescent="0.25">
      <c r="A133" s="546"/>
      <c r="B133" s="286"/>
      <c r="C133" s="548"/>
      <c r="D133" s="560" t="s">
        <v>288</v>
      </c>
      <c r="E133" s="286"/>
      <c r="F133" s="286"/>
      <c r="G133" s="598">
        <f>G60</f>
        <v>0</v>
      </c>
      <c r="H133" s="597">
        <f t="shared" si="11"/>
        <v>0</v>
      </c>
      <c r="I133" s="549">
        <v>0.05</v>
      </c>
      <c r="J133" s="549">
        <v>0</v>
      </c>
      <c r="K133" s="549"/>
      <c r="L133" s="549"/>
      <c r="M133" s="545"/>
      <c r="N133" s="546"/>
      <c r="O133" s="546"/>
      <c r="P133" s="556"/>
      <c r="Q133" s="546"/>
      <c r="R133" s="546"/>
      <c r="S133" s="546"/>
      <c r="T133" s="546"/>
    </row>
    <row r="134" spans="1:20" x14ac:dyDescent="0.25">
      <c r="A134" s="546"/>
      <c r="B134" s="286"/>
      <c r="C134" s="548"/>
      <c r="D134" s="564" t="s">
        <v>275</v>
      </c>
      <c r="E134" s="565"/>
      <c r="F134" s="565"/>
      <c r="G134" s="598">
        <f>SUM(G135:G141)</f>
        <v>187826948.09999996</v>
      </c>
      <c r="H134" s="597">
        <f t="shared" si="11"/>
        <v>0.18060780485077366</v>
      </c>
      <c r="I134" s="549"/>
      <c r="J134" s="549"/>
      <c r="K134" s="549"/>
      <c r="L134" s="549"/>
      <c r="M134" s="545"/>
      <c r="N134" s="546"/>
      <c r="O134" s="546"/>
      <c r="P134" s="556"/>
      <c r="Q134" s="546"/>
      <c r="R134" s="546"/>
      <c r="S134" s="546"/>
      <c r="T134" s="546"/>
    </row>
    <row r="135" spans="1:20" x14ac:dyDescent="0.25">
      <c r="A135" s="546"/>
      <c r="B135" s="286"/>
      <c r="C135" s="548"/>
      <c r="D135" s="560" t="s">
        <v>290</v>
      </c>
      <c r="E135" s="286"/>
      <c r="F135" s="286"/>
      <c r="G135" s="598">
        <f>G61</f>
        <v>59777273.909999996</v>
      </c>
      <c r="H135" s="597">
        <f t="shared" si="11"/>
        <v>5.7479729772857473E-2</v>
      </c>
      <c r="I135" s="549">
        <v>0.3</v>
      </c>
      <c r="J135" s="549">
        <v>0.15</v>
      </c>
      <c r="K135" s="549"/>
      <c r="L135" s="549"/>
      <c r="M135" s="545"/>
      <c r="N135" s="546"/>
      <c r="O135" s="546"/>
      <c r="P135" s="556"/>
      <c r="Q135" s="546"/>
      <c r="R135" s="546"/>
      <c r="S135" s="546"/>
      <c r="T135" s="546"/>
    </row>
    <row r="136" spans="1:20" x14ac:dyDescent="0.25">
      <c r="A136" s="546"/>
      <c r="B136" s="286"/>
      <c r="C136" s="548"/>
      <c r="D136" s="560" t="s">
        <v>289</v>
      </c>
      <c r="E136" s="286"/>
      <c r="F136" s="286"/>
      <c r="G136" s="598">
        <f>G64</f>
        <v>0</v>
      </c>
      <c r="H136" s="597">
        <f t="shared" si="11"/>
        <v>0</v>
      </c>
      <c r="I136" s="549">
        <v>0.3</v>
      </c>
      <c r="J136" s="549">
        <v>0.02</v>
      </c>
      <c r="K136" s="549"/>
      <c r="L136" s="549"/>
      <c r="M136" s="545"/>
      <c r="N136" s="546"/>
      <c r="O136" s="546"/>
      <c r="P136" s="556"/>
      <c r="Q136" s="546"/>
      <c r="R136" s="546"/>
      <c r="S136" s="546"/>
      <c r="T136" s="546"/>
    </row>
    <row r="137" spans="1:20" x14ac:dyDescent="0.25">
      <c r="A137" s="546"/>
      <c r="B137" s="286"/>
      <c r="C137" s="548"/>
      <c r="D137" s="560" t="s">
        <v>291</v>
      </c>
      <c r="E137" s="286"/>
      <c r="F137" s="286"/>
      <c r="G137" s="598">
        <f>G66</f>
        <v>82826333.910000011</v>
      </c>
      <c r="H137" s="597">
        <f t="shared" si="11"/>
        <v>7.964289737252192E-2</v>
      </c>
      <c r="I137" s="549">
        <v>0.2</v>
      </c>
      <c r="J137" s="549">
        <v>0.15</v>
      </c>
      <c r="K137" s="549"/>
      <c r="L137" s="549"/>
      <c r="M137" s="545"/>
      <c r="N137" s="546"/>
      <c r="O137" s="546"/>
      <c r="P137" s="556"/>
      <c r="Q137" s="546"/>
      <c r="R137" s="546"/>
      <c r="S137" s="546"/>
      <c r="T137" s="546"/>
    </row>
    <row r="138" spans="1:20" x14ac:dyDescent="0.25">
      <c r="A138" s="546"/>
      <c r="B138" s="286"/>
      <c r="C138" s="548"/>
      <c r="D138" s="560" t="s">
        <v>292</v>
      </c>
      <c r="E138" s="286"/>
      <c r="F138" s="286"/>
      <c r="G138" s="598">
        <f>G75</f>
        <v>0</v>
      </c>
      <c r="H138" s="597">
        <f t="shared" si="11"/>
        <v>0</v>
      </c>
      <c r="I138" s="549">
        <v>0.2</v>
      </c>
      <c r="J138" s="549">
        <v>0</v>
      </c>
      <c r="K138" s="549"/>
      <c r="L138" s="549"/>
      <c r="M138" s="545"/>
      <c r="N138" s="546"/>
      <c r="O138" s="546"/>
      <c r="P138" s="556"/>
      <c r="Q138" s="546"/>
      <c r="R138" s="546"/>
      <c r="S138" s="546"/>
      <c r="T138" s="546"/>
    </row>
    <row r="139" spans="1:20" x14ac:dyDescent="0.25">
      <c r="A139" s="546"/>
      <c r="B139" s="286"/>
      <c r="C139" s="548"/>
      <c r="D139" s="560" t="s">
        <v>293</v>
      </c>
      <c r="E139" s="286"/>
      <c r="F139" s="286"/>
      <c r="G139" s="598">
        <f>G76</f>
        <v>15241400.67</v>
      </c>
      <c r="H139" s="597">
        <f t="shared" si="11"/>
        <v>1.4655596258712844E-2</v>
      </c>
      <c r="I139" s="549">
        <v>0.1</v>
      </c>
      <c r="J139" s="549">
        <v>0.03</v>
      </c>
      <c r="K139" s="549"/>
      <c r="L139" s="549"/>
      <c r="M139" s="545"/>
      <c r="N139" s="546"/>
      <c r="O139" s="546"/>
      <c r="P139" s="556"/>
      <c r="Q139" s="546"/>
      <c r="R139" s="546"/>
      <c r="S139" s="546"/>
      <c r="T139" s="546"/>
    </row>
    <row r="140" spans="1:20" x14ac:dyDescent="0.25">
      <c r="A140" s="546"/>
      <c r="B140" s="286"/>
      <c r="C140" s="548"/>
      <c r="D140" s="560" t="s">
        <v>294</v>
      </c>
      <c r="E140" s="286"/>
      <c r="F140" s="286"/>
      <c r="G140" s="598">
        <f>G81</f>
        <v>15356000.470000003</v>
      </c>
      <c r="H140" s="597">
        <f t="shared" si="11"/>
        <v>1.4765791406553498E-2</v>
      </c>
      <c r="I140" s="549">
        <v>0.05</v>
      </c>
      <c r="J140" s="549">
        <v>0.03</v>
      </c>
      <c r="K140" s="549"/>
      <c r="L140" s="549"/>
      <c r="M140" s="545"/>
      <c r="N140" s="546"/>
      <c r="O140" s="546"/>
      <c r="P140" s="556"/>
      <c r="Q140" s="546"/>
      <c r="R140" s="546"/>
      <c r="S140" s="546"/>
      <c r="T140" s="546"/>
    </row>
    <row r="141" spans="1:20" x14ac:dyDescent="0.25">
      <c r="A141" s="546"/>
      <c r="B141" s="286"/>
      <c r="C141" s="548"/>
      <c r="D141" s="560" t="s">
        <v>295</v>
      </c>
      <c r="E141" s="286"/>
      <c r="F141" s="286"/>
      <c r="G141" s="598">
        <f>G85</f>
        <v>14625939.140000001</v>
      </c>
      <c r="H141" s="597">
        <f t="shared" si="11"/>
        <v>1.406379004012797E-2</v>
      </c>
      <c r="I141" s="549">
        <v>0.05</v>
      </c>
      <c r="J141" s="549">
        <v>0.03</v>
      </c>
      <c r="K141" s="549"/>
      <c r="L141" s="549"/>
      <c r="M141" s="545"/>
      <c r="N141" s="546"/>
      <c r="O141" s="546"/>
      <c r="P141" s="556"/>
      <c r="Q141" s="546"/>
      <c r="R141" s="546"/>
      <c r="S141" s="546"/>
      <c r="T141" s="546"/>
    </row>
    <row r="142" spans="1:20" x14ac:dyDescent="0.25">
      <c r="A142" s="546"/>
      <c r="B142" s="286"/>
      <c r="C142" s="548"/>
      <c r="D142" s="564" t="s">
        <v>159</v>
      </c>
      <c r="E142" s="565"/>
      <c r="F142" s="565"/>
      <c r="G142" s="598">
        <f>G88</f>
        <v>1052524.78</v>
      </c>
      <c r="H142" s="597">
        <f t="shared" si="11"/>
        <v>1.0120709088327221E-3</v>
      </c>
      <c r="I142" s="549"/>
      <c r="J142" s="549"/>
      <c r="K142" s="549"/>
      <c r="L142" s="549"/>
      <c r="M142" s="545"/>
      <c r="N142" s="546"/>
      <c r="O142" s="546"/>
      <c r="P142" s="556"/>
      <c r="Q142" s="546"/>
      <c r="R142" s="546"/>
      <c r="S142" s="546"/>
      <c r="T142" s="546"/>
    </row>
    <row r="143" spans="1:20" x14ac:dyDescent="0.25">
      <c r="A143" s="546"/>
      <c r="B143" s="286"/>
      <c r="C143" s="548"/>
      <c r="D143" s="560"/>
      <c r="E143" s="286"/>
      <c r="F143" s="286"/>
      <c r="G143" s="598"/>
      <c r="H143" s="597"/>
      <c r="I143" s="545"/>
      <c r="J143" s="549"/>
      <c r="K143" s="549"/>
      <c r="L143" s="549"/>
      <c r="M143" s="545"/>
      <c r="N143" s="546"/>
      <c r="O143" s="546"/>
      <c r="P143" s="556"/>
      <c r="Q143" s="546"/>
      <c r="R143" s="546"/>
      <c r="S143" s="546"/>
      <c r="T143" s="546"/>
    </row>
    <row r="144" spans="1:20" x14ac:dyDescent="0.25">
      <c r="A144" s="546"/>
      <c r="B144" s="546"/>
      <c r="C144" s="546"/>
      <c r="D144" s="546"/>
      <c r="E144" s="546"/>
      <c r="F144" s="546"/>
      <c r="G144" s="598"/>
      <c r="H144" s="597"/>
      <c r="I144" s="545"/>
      <c r="J144" s="545"/>
      <c r="K144" s="545"/>
      <c r="L144" s="545"/>
      <c r="M144" s="545"/>
      <c r="N144" s="546"/>
      <c r="O144" s="546"/>
      <c r="P144" s="556"/>
      <c r="Q144" s="546"/>
      <c r="R144" s="546"/>
      <c r="S144" s="546"/>
      <c r="T144" s="546"/>
    </row>
    <row r="145" spans="1:20" x14ac:dyDescent="0.25">
      <c r="A145" s="546"/>
      <c r="B145" s="546"/>
      <c r="C145" s="546"/>
      <c r="D145" s="546"/>
      <c r="E145" s="546"/>
      <c r="F145" s="546"/>
      <c r="G145" s="598"/>
      <c r="H145" s="597"/>
      <c r="I145" s="545"/>
      <c r="J145" s="545"/>
      <c r="K145" s="545"/>
      <c r="L145" s="545"/>
      <c r="M145" s="545"/>
      <c r="N145" s="546"/>
      <c r="O145" s="546"/>
      <c r="P145" s="556"/>
      <c r="Q145" s="546"/>
      <c r="R145" s="546"/>
      <c r="S145" s="546"/>
      <c r="T145" s="546"/>
    </row>
    <row r="146" spans="1:20" x14ac:dyDescent="0.25">
      <c r="A146" s="546"/>
      <c r="B146" s="546"/>
      <c r="C146" s="546"/>
      <c r="D146" s="546" t="s">
        <v>20</v>
      </c>
      <c r="E146" s="546"/>
      <c r="F146" s="546"/>
      <c r="G146" s="606">
        <f>G5+G6+G7+G8+G9+G10+G11+G12+G13+G14</f>
        <v>167833426.24000001</v>
      </c>
      <c r="H146" s="597">
        <f t="shared" ref="H146:H167" si="12">G146/$G$92</f>
        <v>0.16138273554683097</v>
      </c>
      <c r="I146" s="545"/>
      <c r="J146" s="545"/>
      <c r="K146" s="545"/>
      <c r="L146" s="545"/>
      <c r="M146" s="545"/>
      <c r="N146" s="546"/>
      <c r="O146" s="546"/>
      <c r="P146" s="556"/>
      <c r="Q146" s="546"/>
      <c r="R146" s="546"/>
      <c r="S146" s="546"/>
      <c r="T146" s="546"/>
    </row>
    <row r="147" spans="1:20" x14ac:dyDescent="0.25">
      <c r="A147" s="546"/>
      <c r="B147" s="546"/>
      <c r="C147" s="546"/>
      <c r="D147" s="546" t="s">
        <v>257</v>
      </c>
      <c r="E147" s="546"/>
      <c r="F147" s="546"/>
      <c r="G147" s="607">
        <f>G24+G25+G26+G27+G35+G65+G73</f>
        <v>250581988.06</v>
      </c>
      <c r="H147" s="597">
        <f t="shared" si="12"/>
        <v>0.24095085000563551</v>
      </c>
      <c r="I147" s="545"/>
      <c r="J147" s="545"/>
      <c r="K147" s="545"/>
      <c r="L147" s="545"/>
      <c r="M147" s="545"/>
      <c r="N147" s="546"/>
      <c r="O147" s="546"/>
      <c r="P147" s="556"/>
      <c r="Q147" s="546"/>
      <c r="R147" s="546"/>
      <c r="S147" s="546"/>
      <c r="T147" s="546"/>
    </row>
    <row r="148" spans="1:20" x14ac:dyDescent="0.25">
      <c r="A148" s="546"/>
      <c r="B148" s="546"/>
      <c r="C148" s="546"/>
      <c r="D148" s="546" t="s">
        <v>258</v>
      </c>
      <c r="E148" s="546"/>
      <c r="F148" s="546"/>
      <c r="G148" s="607">
        <f>G20+G21+G32+G33+G34</f>
        <v>142796791.92000002</v>
      </c>
      <c r="H148" s="597">
        <f t="shared" si="12"/>
        <v>0.13730838619958338</v>
      </c>
      <c r="I148" s="545"/>
      <c r="J148" s="545"/>
      <c r="K148" s="545"/>
      <c r="L148" s="545"/>
      <c r="M148" s="545"/>
      <c r="N148" s="546"/>
      <c r="O148" s="546"/>
      <c r="P148" s="556"/>
      <c r="Q148" s="546"/>
      <c r="R148" s="546"/>
      <c r="S148" s="546"/>
      <c r="T148" s="546"/>
    </row>
    <row r="149" spans="1:20" x14ac:dyDescent="0.25">
      <c r="A149" s="546"/>
      <c r="B149" s="546"/>
      <c r="C149" s="546"/>
      <c r="D149" s="546" t="s">
        <v>259</v>
      </c>
      <c r="E149" s="546"/>
      <c r="F149" s="546"/>
      <c r="G149" s="607">
        <f>G22+G46+G47+G48+G49+G62+G67+G79+G80</f>
        <v>108223130.2</v>
      </c>
      <c r="H149" s="597">
        <f>G149/$G$92</f>
        <v>0.10406356583665044</v>
      </c>
      <c r="I149" s="545"/>
      <c r="J149" s="545"/>
      <c r="K149" s="545"/>
      <c r="L149" s="545"/>
      <c r="M149" s="545"/>
      <c r="N149" s="546"/>
      <c r="O149" s="546"/>
      <c r="P149" s="556"/>
      <c r="Q149" s="546"/>
      <c r="R149" s="546"/>
      <c r="S149" s="546"/>
      <c r="T149" s="546"/>
    </row>
    <row r="150" spans="1:20" x14ac:dyDescent="0.25">
      <c r="A150" s="546"/>
      <c r="B150" s="546"/>
      <c r="C150" s="546"/>
      <c r="D150" s="546" t="s">
        <v>62</v>
      </c>
      <c r="E150" s="546"/>
      <c r="F150" s="546"/>
      <c r="G150" s="607">
        <f>G37+G36+G38+G50</f>
        <v>99012334.560000017</v>
      </c>
      <c r="H150" s="597">
        <f t="shared" si="12"/>
        <v>9.5206787838086587E-2</v>
      </c>
      <c r="I150" s="545"/>
      <c r="J150" s="545"/>
      <c r="K150" s="545"/>
      <c r="L150" s="545"/>
      <c r="M150" s="545"/>
      <c r="N150" s="546"/>
      <c r="O150" s="546"/>
      <c r="P150" s="556"/>
      <c r="Q150" s="546"/>
      <c r="R150" s="546"/>
      <c r="S150" s="546"/>
      <c r="T150" s="546"/>
    </row>
    <row r="151" spans="1:20" x14ac:dyDescent="0.25">
      <c r="A151" s="546"/>
      <c r="B151" s="546"/>
      <c r="C151" s="546"/>
      <c r="D151" s="546" t="s">
        <v>35</v>
      </c>
      <c r="E151" s="546"/>
      <c r="F151" s="546"/>
      <c r="G151" s="607">
        <f>G16+G18+G41+G42+G43+G44+G17+G19</f>
        <v>104827304.46000001</v>
      </c>
      <c r="H151" s="597">
        <f t="shared" si="12"/>
        <v>0.10079825892110271</v>
      </c>
      <c r="I151" s="545"/>
      <c r="J151" s="545"/>
      <c r="K151" s="545"/>
      <c r="L151" s="545"/>
      <c r="M151" s="545"/>
      <c r="N151" s="546"/>
      <c r="O151" s="546"/>
      <c r="P151" s="556"/>
      <c r="Q151" s="546"/>
      <c r="R151" s="546"/>
      <c r="S151" s="546"/>
      <c r="T151" s="546"/>
    </row>
    <row r="152" spans="1:20" x14ac:dyDescent="0.25">
      <c r="A152" s="546"/>
      <c r="B152" s="546"/>
      <c r="C152" s="546"/>
      <c r="D152" s="546" t="s">
        <v>260</v>
      </c>
      <c r="E152" s="546"/>
      <c r="F152" s="546"/>
      <c r="G152" s="607">
        <f>G45+G69+G70+G71+G72</f>
        <v>52715920.279999994</v>
      </c>
      <c r="H152" s="597">
        <f t="shared" si="12"/>
        <v>5.0689779814716493E-2</v>
      </c>
      <c r="I152" s="545"/>
      <c r="J152" s="545"/>
      <c r="K152" s="545"/>
      <c r="L152" s="545"/>
      <c r="M152" s="545"/>
      <c r="N152" s="546"/>
      <c r="O152" s="546"/>
      <c r="P152" s="556"/>
      <c r="Q152" s="546"/>
      <c r="R152" s="546"/>
      <c r="S152" s="546"/>
      <c r="T152" s="546"/>
    </row>
    <row r="153" spans="1:20" x14ac:dyDescent="0.25">
      <c r="A153" s="546"/>
      <c r="B153" s="546"/>
      <c r="C153" s="546"/>
      <c r="D153" s="546" t="s">
        <v>265</v>
      </c>
      <c r="E153" s="546"/>
      <c r="F153" s="546"/>
      <c r="G153" s="606">
        <f>G77+G78+G63</f>
        <v>26859414.760000002</v>
      </c>
      <c r="H153" s="597">
        <f>G153/$G$92</f>
        <v>2.5827071080329559E-2</v>
      </c>
      <c r="I153" s="545"/>
      <c r="J153" s="545"/>
      <c r="K153" s="545"/>
      <c r="L153" s="545"/>
      <c r="M153" s="545"/>
      <c r="N153" s="546"/>
      <c r="O153" s="546"/>
      <c r="P153" s="556"/>
      <c r="Q153" s="546"/>
      <c r="R153" s="546"/>
      <c r="S153" s="546"/>
      <c r="T153" s="546"/>
    </row>
    <row r="154" spans="1:20" x14ac:dyDescent="0.25">
      <c r="A154" s="546"/>
      <c r="B154" s="546"/>
      <c r="C154" s="546"/>
      <c r="D154" s="546" t="s">
        <v>261</v>
      </c>
      <c r="E154" s="546"/>
      <c r="F154" s="546"/>
      <c r="G154" s="606">
        <f>G68</f>
        <v>24415180.73</v>
      </c>
      <c r="H154" s="597">
        <f t="shared" si="12"/>
        <v>2.3476781373951369E-2</v>
      </c>
      <c r="I154" s="545"/>
      <c r="J154" s="545"/>
      <c r="K154" s="545"/>
      <c r="L154" s="545"/>
      <c r="M154" s="545"/>
      <c r="N154" s="546"/>
      <c r="O154" s="546"/>
      <c r="P154" s="556"/>
      <c r="Q154" s="546"/>
      <c r="R154" s="546"/>
      <c r="S154" s="546"/>
      <c r="T154" s="546"/>
    </row>
    <row r="155" spans="1:20" x14ac:dyDescent="0.25">
      <c r="A155" s="546"/>
      <c r="B155" s="546"/>
      <c r="C155" s="546"/>
      <c r="D155" s="546" t="s">
        <v>46</v>
      </c>
      <c r="E155" s="546"/>
      <c r="F155" s="546"/>
      <c r="G155" s="606">
        <f>G23</f>
        <v>12712609.58</v>
      </c>
      <c r="H155" s="597">
        <f t="shared" si="12"/>
        <v>1.2223999449463004E-2</v>
      </c>
      <c r="I155" s="545"/>
      <c r="J155" s="545"/>
      <c r="K155" s="545"/>
      <c r="L155" s="545"/>
      <c r="M155" s="545"/>
      <c r="N155" s="546"/>
      <c r="O155" s="546"/>
      <c r="P155" s="556"/>
      <c r="Q155" s="546"/>
      <c r="R155" s="546"/>
      <c r="S155" s="546"/>
      <c r="T155" s="546"/>
    </row>
    <row r="156" spans="1:20" x14ac:dyDescent="0.25">
      <c r="A156" s="546"/>
      <c r="B156" s="546"/>
      <c r="C156" s="546"/>
      <c r="D156" s="546" t="s">
        <v>262</v>
      </c>
      <c r="E156" s="546"/>
      <c r="F156" s="546"/>
      <c r="G156" s="606">
        <f>G87</f>
        <v>9344839.1400000006</v>
      </c>
      <c r="H156" s="597">
        <f t="shared" si="12"/>
        <v>8.9856695262940916E-3</v>
      </c>
      <c r="I156" s="545"/>
      <c r="J156" s="545"/>
      <c r="K156" s="545"/>
      <c r="L156" s="545"/>
      <c r="M156" s="545"/>
      <c r="N156" s="546"/>
      <c r="O156" s="546"/>
      <c r="P156" s="556"/>
      <c r="Q156" s="546"/>
      <c r="R156" s="546"/>
      <c r="S156" s="546"/>
      <c r="T156" s="546"/>
    </row>
    <row r="157" spans="1:20" x14ac:dyDescent="0.25">
      <c r="A157" s="546"/>
      <c r="B157" s="546"/>
      <c r="C157" s="546"/>
      <c r="D157" s="546" t="s">
        <v>263</v>
      </c>
      <c r="E157" s="546"/>
      <c r="F157" s="546"/>
      <c r="G157" s="606">
        <f>G82</f>
        <v>14033097.630000001</v>
      </c>
      <c r="H157" s="597">
        <f t="shared" si="12"/>
        <v>1.3493734439328277E-2</v>
      </c>
      <c r="I157" s="545"/>
      <c r="J157" s="545"/>
      <c r="K157" s="545"/>
      <c r="L157" s="545"/>
      <c r="M157" s="545"/>
      <c r="N157" s="546"/>
      <c r="O157" s="546"/>
      <c r="P157" s="556"/>
      <c r="Q157" s="546"/>
      <c r="R157" s="546"/>
      <c r="S157" s="546"/>
      <c r="T157" s="546"/>
    </row>
    <row r="158" spans="1:20" x14ac:dyDescent="0.25">
      <c r="A158" s="546"/>
      <c r="B158" s="546"/>
      <c r="C158" s="546"/>
      <c r="D158" s="546" t="s">
        <v>57</v>
      </c>
      <c r="E158" s="546"/>
      <c r="F158" s="546"/>
      <c r="G158" s="607">
        <f>G28</f>
        <v>7152881.7599999998</v>
      </c>
      <c r="H158" s="597">
        <f>G158/$G$92</f>
        <v>6.8779601973990587E-3</v>
      </c>
      <c r="I158" s="545"/>
      <c r="J158" s="545"/>
      <c r="K158" s="545"/>
      <c r="L158" s="545"/>
      <c r="M158" s="545"/>
      <c r="N158" s="546"/>
      <c r="O158" s="546"/>
      <c r="P158" s="556"/>
      <c r="Q158" s="546"/>
      <c r="R158" s="546"/>
      <c r="S158" s="546"/>
      <c r="T158" s="546"/>
    </row>
    <row r="159" spans="1:20" x14ac:dyDescent="0.25">
      <c r="A159" s="546"/>
      <c r="B159" s="546"/>
      <c r="C159" s="546"/>
      <c r="D159" s="546" t="s">
        <v>82</v>
      </c>
      <c r="E159" s="546"/>
      <c r="F159" s="546"/>
      <c r="G159" s="606">
        <f>G56</f>
        <v>7053355.8499999996</v>
      </c>
      <c r="H159" s="597">
        <f t="shared" si="12"/>
        <v>6.7822595734326526E-3</v>
      </c>
      <c r="I159" s="545"/>
      <c r="J159" s="545"/>
      <c r="K159" s="545"/>
      <c r="L159" s="545"/>
      <c r="M159" s="545"/>
      <c r="N159" s="546"/>
      <c r="O159" s="546"/>
      <c r="P159" s="556"/>
      <c r="Q159" s="546"/>
      <c r="R159" s="546"/>
      <c r="S159" s="546"/>
      <c r="T159" s="546"/>
    </row>
    <row r="160" spans="1:20" x14ac:dyDescent="0.25">
      <c r="A160" s="546"/>
      <c r="B160" s="546"/>
      <c r="C160" s="546"/>
      <c r="D160" s="546" t="s">
        <v>264</v>
      </c>
      <c r="E160" s="546"/>
      <c r="F160" s="546"/>
      <c r="G160" s="606">
        <f>G86</f>
        <v>5281100</v>
      </c>
      <c r="H160" s="597">
        <f t="shared" si="12"/>
        <v>5.0781205138338776E-3</v>
      </c>
      <c r="I160" s="545"/>
      <c r="J160" s="545"/>
      <c r="K160" s="545"/>
      <c r="L160" s="545"/>
      <c r="M160" s="545"/>
      <c r="N160" s="546"/>
      <c r="O160" s="546"/>
      <c r="P160" s="556"/>
      <c r="Q160" s="546"/>
      <c r="R160" s="546"/>
      <c r="S160" s="546"/>
      <c r="T160" s="546"/>
    </row>
    <row r="161" spans="1:20" x14ac:dyDescent="0.25">
      <c r="A161" s="546"/>
      <c r="B161" s="546"/>
      <c r="C161" s="546"/>
      <c r="D161" s="546" t="s">
        <v>266</v>
      </c>
      <c r="E161" s="546"/>
      <c r="F161" s="546"/>
      <c r="G161" s="606">
        <f>G74</f>
        <v>4666879.1500000004</v>
      </c>
      <c r="H161" s="597">
        <f t="shared" si="12"/>
        <v>4.4875072896174298E-3</v>
      </c>
      <c r="I161" s="545"/>
      <c r="J161" s="545"/>
      <c r="K161" s="545"/>
      <c r="L161" s="545"/>
      <c r="M161" s="545"/>
      <c r="N161" s="546"/>
      <c r="O161" s="546"/>
      <c r="P161" s="556"/>
      <c r="Q161" s="546"/>
      <c r="R161" s="546"/>
      <c r="S161" s="546"/>
      <c r="T161" s="546"/>
    </row>
    <row r="162" spans="1:20" x14ac:dyDescent="0.25">
      <c r="A162" s="546"/>
      <c r="B162" s="546"/>
      <c r="C162" s="546"/>
      <c r="D162" s="546" t="s">
        <v>267</v>
      </c>
      <c r="E162" s="546"/>
      <c r="F162" s="546"/>
      <c r="G162" s="607">
        <f>G84</f>
        <v>852014.13</v>
      </c>
      <c r="H162" s="597">
        <f t="shared" si="12"/>
        <v>8.1926690114357309E-4</v>
      </c>
      <c r="I162" s="545"/>
      <c r="J162" s="545"/>
      <c r="K162" s="545"/>
      <c r="L162" s="545"/>
      <c r="M162" s="545"/>
      <c r="N162" s="546"/>
      <c r="O162" s="546"/>
      <c r="P162" s="556"/>
      <c r="Q162" s="546"/>
      <c r="R162" s="546"/>
      <c r="S162" s="546"/>
      <c r="T162" s="546"/>
    </row>
    <row r="163" spans="1:20" x14ac:dyDescent="0.25">
      <c r="A163" s="546"/>
      <c r="B163" s="546"/>
      <c r="C163" s="546"/>
      <c r="D163" s="546" t="s">
        <v>268</v>
      </c>
      <c r="E163" s="546"/>
      <c r="F163" s="546"/>
      <c r="G163" s="607">
        <f>G83</f>
        <v>470888.71</v>
      </c>
      <c r="H163" s="597">
        <f t="shared" si="12"/>
        <v>4.5279006608164429E-4</v>
      </c>
      <c r="I163" s="545"/>
      <c r="J163" s="545"/>
      <c r="K163" s="545"/>
      <c r="L163" s="545"/>
      <c r="M163" s="545"/>
      <c r="N163" s="546"/>
      <c r="O163" s="546"/>
      <c r="P163" s="556"/>
      <c r="Q163" s="546"/>
      <c r="R163" s="546"/>
      <c r="S163" s="546"/>
      <c r="T163" s="546"/>
    </row>
    <row r="164" spans="1:20" x14ac:dyDescent="0.25">
      <c r="A164" s="546"/>
      <c r="B164" s="546"/>
      <c r="C164" s="546"/>
      <c r="D164" s="546" t="s">
        <v>269</v>
      </c>
      <c r="E164" s="546"/>
      <c r="F164" s="546"/>
      <c r="G164" s="607">
        <f>G58</f>
        <v>47292.92</v>
      </c>
      <c r="H164" s="597">
        <f t="shared" si="12"/>
        <v>4.5475212969098188E-5</v>
      </c>
      <c r="I164" s="545"/>
      <c r="J164" s="545"/>
      <c r="K164" s="545"/>
      <c r="L164" s="545"/>
      <c r="M164" s="545"/>
      <c r="N164" s="546"/>
      <c r="O164" s="546"/>
      <c r="P164" s="556"/>
      <c r="Q164" s="546"/>
      <c r="R164" s="546"/>
      <c r="S164" s="546"/>
      <c r="T164" s="546"/>
    </row>
    <row r="165" spans="1:20" x14ac:dyDescent="0.25">
      <c r="A165" s="546"/>
      <c r="B165" s="546"/>
      <c r="C165" s="546"/>
      <c r="D165" s="546" t="s">
        <v>86</v>
      </c>
      <c r="E165" s="546"/>
      <c r="F165" s="546"/>
      <c r="G165" s="607">
        <f>G57</f>
        <v>38405.42</v>
      </c>
      <c r="H165" s="597">
        <f t="shared" si="12"/>
        <v>3.6929304717654631E-5</v>
      </c>
      <c r="I165" s="545"/>
      <c r="J165" s="545"/>
      <c r="K165" s="545"/>
      <c r="L165" s="545"/>
      <c r="M165" s="545"/>
      <c r="N165" s="546"/>
      <c r="O165" s="546"/>
      <c r="P165" s="556"/>
      <c r="Q165" s="546"/>
      <c r="R165" s="546"/>
      <c r="S165" s="546"/>
      <c r="T165" s="546"/>
    </row>
    <row r="166" spans="1:20" x14ac:dyDescent="0.25">
      <c r="A166" s="546"/>
      <c r="B166" s="546"/>
      <c r="C166" s="546"/>
      <c r="D166" s="546"/>
      <c r="E166" s="546"/>
      <c r="F166" s="546"/>
      <c r="G166" s="595"/>
      <c r="H166" s="597">
        <f t="shared" si="12"/>
        <v>0</v>
      </c>
      <c r="I166" s="545"/>
      <c r="J166" s="545"/>
      <c r="K166" s="545"/>
      <c r="L166" s="545"/>
      <c r="M166" s="545"/>
      <c r="N166" s="546"/>
      <c r="O166" s="546"/>
      <c r="P166" s="556"/>
      <c r="Q166" s="546"/>
      <c r="R166" s="546"/>
      <c r="S166" s="546"/>
      <c r="T166" s="546"/>
    </row>
    <row r="167" spans="1:20" x14ac:dyDescent="0.25">
      <c r="A167" s="546"/>
      <c r="B167" s="546"/>
      <c r="C167" s="546"/>
      <c r="D167" s="546" t="s">
        <v>270</v>
      </c>
      <c r="E167" s="546"/>
      <c r="F167" s="546"/>
      <c r="G167" s="606">
        <f>G88</f>
        <v>1052524.78</v>
      </c>
      <c r="H167" s="597">
        <f t="shared" si="12"/>
        <v>1.0120709088327221E-3</v>
      </c>
      <c r="I167" s="545"/>
      <c r="J167" s="545"/>
      <c r="K167" s="545"/>
      <c r="L167" s="545"/>
      <c r="M167" s="545"/>
      <c r="N167" s="546"/>
      <c r="O167" s="546"/>
      <c r="P167" s="556"/>
      <c r="Q167" s="546"/>
      <c r="R167" s="546"/>
      <c r="S167" s="546"/>
      <c r="T167" s="546"/>
    </row>
    <row r="168" spans="1:20" ht="15.75" thickBot="1" x14ac:dyDescent="0.3">
      <c r="A168" s="546"/>
      <c r="B168" s="546"/>
      <c r="C168" s="546"/>
      <c r="D168" s="546"/>
      <c r="E168" s="546"/>
      <c r="F168" s="546"/>
      <c r="G168" s="595"/>
      <c r="H168" s="597"/>
      <c r="I168" s="545"/>
      <c r="J168" s="545"/>
      <c r="K168" s="545"/>
      <c r="L168" s="545"/>
      <c r="M168" s="545"/>
      <c r="N168" s="546"/>
      <c r="O168" s="546"/>
      <c r="P168" s="556"/>
      <c r="Q168" s="546"/>
      <c r="R168" s="546"/>
      <c r="S168" s="546"/>
      <c r="T168" s="546"/>
    </row>
    <row r="169" spans="1:20" ht="15.75" thickBot="1" x14ac:dyDescent="0.3">
      <c r="A169" s="546"/>
      <c r="B169" s="546"/>
      <c r="C169" s="546"/>
      <c r="D169" s="546"/>
      <c r="E169" s="562"/>
      <c r="F169" s="546"/>
      <c r="G169" s="608">
        <f>SUM(G146:G168)</f>
        <v>1039971380.2800001</v>
      </c>
      <c r="H169" s="597">
        <f>SUM(H146:H168)</f>
        <v>1</v>
      </c>
      <c r="I169" s="545"/>
      <c r="J169" s="545"/>
      <c r="K169" s="545"/>
      <c r="L169" s="545"/>
      <c r="M169" s="545"/>
      <c r="N169" s="546"/>
      <c r="O169" s="546"/>
      <c r="P169" s="556"/>
      <c r="Q169" s="546"/>
      <c r="R169" s="546"/>
      <c r="S169" s="546"/>
      <c r="T169" s="546"/>
    </row>
    <row r="170" spans="1:20" x14ac:dyDescent="0.25">
      <c r="A170" s="546"/>
      <c r="B170" s="546"/>
      <c r="C170" s="546"/>
      <c r="D170" s="546"/>
      <c r="E170" s="546"/>
      <c r="F170" s="546"/>
      <c r="G170" s="598"/>
      <c r="H170" s="597"/>
      <c r="I170" s="545"/>
      <c r="J170" s="545"/>
      <c r="K170" s="545"/>
      <c r="L170" s="545"/>
      <c r="M170" s="632"/>
      <c r="N170" s="546"/>
      <c r="O170" s="546"/>
      <c r="P170" s="556"/>
      <c r="Q170" s="546"/>
      <c r="R170" s="546"/>
      <c r="S170" s="546"/>
      <c r="T170" s="546"/>
    </row>
    <row r="171" spans="1:20" x14ac:dyDescent="0.25">
      <c r="A171" s="546"/>
      <c r="B171" s="546"/>
      <c r="C171" s="546"/>
      <c r="D171" s="546" t="s">
        <v>271</v>
      </c>
      <c r="E171" s="556">
        <f>G171/G105</f>
        <v>0.19719777004191497</v>
      </c>
      <c r="F171" s="546"/>
      <c r="G171" s="554">
        <f>G5+G6+G7+G8+G9+G10+G11+G12+G13+G14</f>
        <v>167833426.24000001</v>
      </c>
      <c r="H171" s="549">
        <f>G171/G179</f>
        <v>0.19719777004191497</v>
      </c>
      <c r="I171" s="545"/>
      <c r="J171" s="545"/>
      <c r="K171" s="545"/>
      <c r="L171" s="545"/>
      <c r="M171" s="545"/>
      <c r="N171" s="546"/>
      <c r="O171" s="546"/>
      <c r="P171" s="556"/>
      <c r="Q171" s="546"/>
      <c r="R171" s="546"/>
      <c r="S171" s="546"/>
      <c r="T171" s="546"/>
    </row>
    <row r="172" spans="1:20" x14ac:dyDescent="0.25">
      <c r="A172" s="546"/>
      <c r="B172" s="546"/>
      <c r="C172" s="546"/>
      <c r="D172" s="546" t="s">
        <v>141</v>
      </c>
      <c r="E172" s="556">
        <f>G172/G105</f>
        <v>0.16787382878127927</v>
      </c>
      <c r="F172" s="546"/>
      <c r="G172" s="554">
        <f>G23+G28+G34+G35+G38</f>
        <v>142876057.14000002</v>
      </c>
      <c r="H172" s="549">
        <f>G172/G179</f>
        <v>0.16787382878127927</v>
      </c>
      <c r="I172" s="545"/>
      <c r="J172" s="545"/>
      <c r="K172" s="545"/>
      <c r="L172" s="545"/>
      <c r="M172" s="545"/>
      <c r="N172" s="546"/>
      <c r="O172" s="546"/>
      <c r="P172" s="556"/>
      <c r="Q172" s="546"/>
      <c r="R172" s="546"/>
      <c r="S172" s="546"/>
      <c r="T172" s="546"/>
    </row>
    <row r="173" spans="1:20" x14ac:dyDescent="0.25">
      <c r="A173" s="546"/>
      <c r="B173" s="546"/>
      <c r="C173" s="546"/>
      <c r="D173" s="546" t="s">
        <v>272</v>
      </c>
      <c r="E173" s="556">
        <f>G173/G105</f>
        <v>0.29500780011763977</v>
      </c>
      <c r="F173" s="546"/>
      <c r="G173" s="554">
        <f>G16+G18+G32+G33+G22+G24+G27+G37+G36</f>
        <v>251078751.30000001</v>
      </c>
      <c r="H173" s="549">
        <f>G173/G179</f>
        <v>0.29500780011763977</v>
      </c>
      <c r="I173" s="545"/>
      <c r="J173" s="545"/>
      <c r="K173" s="545"/>
      <c r="L173" s="545"/>
      <c r="M173" s="545"/>
      <c r="N173" s="546"/>
      <c r="O173" s="546"/>
      <c r="P173" s="556"/>
      <c r="Q173" s="546"/>
      <c r="R173" s="546"/>
      <c r="S173" s="546"/>
      <c r="T173" s="546"/>
    </row>
    <row r="174" spans="1:20" x14ac:dyDescent="0.25">
      <c r="A174" s="546"/>
      <c r="B174" s="546"/>
      <c r="C174" s="546"/>
      <c r="D174" s="546" t="s">
        <v>273</v>
      </c>
      <c r="E174" s="556">
        <f>G174/G105</f>
        <v>4.1683618410116717E-2</v>
      </c>
      <c r="F174" s="546"/>
      <c r="G174" s="554">
        <f>G46+G47</f>
        <v>35476590.299999997</v>
      </c>
      <c r="H174" s="549">
        <f>G174/G179</f>
        <v>4.1683618410116717E-2</v>
      </c>
      <c r="I174" s="545"/>
      <c r="J174" s="545"/>
      <c r="K174" s="545"/>
      <c r="L174" s="545"/>
      <c r="M174" s="545"/>
      <c r="N174" s="546"/>
      <c r="O174" s="546"/>
      <c r="P174" s="556"/>
      <c r="Q174" s="546"/>
      <c r="R174" s="546"/>
      <c r="S174" s="546"/>
      <c r="T174" s="546"/>
    </row>
    <row r="175" spans="1:20" x14ac:dyDescent="0.25">
      <c r="A175" s="546"/>
      <c r="B175" s="546"/>
      <c r="C175" s="546"/>
      <c r="D175" s="546" t="s">
        <v>138</v>
      </c>
      <c r="E175" s="556">
        <f>G175/G105</f>
        <v>0.24491122100640006</v>
      </c>
      <c r="F175" s="546"/>
      <c r="G175" s="554">
        <f>G17+G19+G20+G21+G25+G26</f>
        <v>208441958.22999999</v>
      </c>
      <c r="H175" s="549">
        <f>G175/G179</f>
        <v>0.24491122100640006</v>
      </c>
      <c r="I175" s="545"/>
      <c r="J175" s="545"/>
      <c r="K175" s="545"/>
      <c r="L175" s="545"/>
      <c r="M175" s="545"/>
      <c r="N175" s="546"/>
      <c r="O175" s="546"/>
      <c r="P175" s="556"/>
      <c r="Q175" s="546"/>
      <c r="R175" s="546"/>
      <c r="S175" s="546"/>
      <c r="T175" s="546"/>
    </row>
    <row r="176" spans="1:20" x14ac:dyDescent="0.25">
      <c r="A176" s="546"/>
      <c r="B176" s="546"/>
      <c r="C176" s="546"/>
      <c r="D176" s="546" t="s">
        <v>274</v>
      </c>
      <c r="E176" s="556">
        <f>G176/G105</f>
        <v>4.4937649703235792E-2</v>
      </c>
      <c r="F176" s="546"/>
      <c r="G176" s="554">
        <f>G41+G42+G43+G44+G45+G48+G49+G50</f>
        <v>38246070</v>
      </c>
      <c r="H176" s="549">
        <f>G176/G179</f>
        <v>4.4937649703235792E-2</v>
      </c>
      <c r="I176" s="545"/>
      <c r="J176" s="545"/>
      <c r="K176" s="545"/>
      <c r="L176" s="545"/>
      <c r="M176" s="545"/>
      <c r="N176" s="546"/>
      <c r="O176" s="546"/>
      <c r="P176" s="556"/>
      <c r="Q176" s="546"/>
      <c r="R176" s="546"/>
      <c r="S176" s="546"/>
      <c r="T176" s="546"/>
    </row>
    <row r="177" spans="1:20" x14ac:dyDescent="0.25">
      <c r="A177" s="546"/>
      <c r="B177" s="546"/>
      <c r="C177" s="546"/>
      <c r="D177" s="546" t="s">
        <v>316</v>
      </c>
      <c r="E177" s="556">
        <f>G177/G106</f>
        <v>3.8008679064513856E-2</v>
      </c>
      <c r="F177" s="546"/>
      <c r="G177" s="554">
        <f>G56+G57+G58</f>
        <v>7139054.1899999995</v>
      </c>
      <c r="H177" s="549">
        <f>G177/G179</f>
        <v>8.3881119394133234E-3</v>
      </c>
      <c r="I177" s="545"/>
      <c r="J177" s="545"/>
      <c r="K177" s="545"/>
      <c r="L177" s="545"/>
      <c r="M177" s="545"/>
      <c r="N177" s="546"/>
      <c r="O177" s="546"/>
      <c r="P177" s="556"/>
      <c r="Q177" s="546"/>
      <c r="R177" s="546"/>
      <c r="S177" s="546"/>
      <c r="T177" s="546"/>
    </row>
    <row r="178" spans="1:20" x14ac:dyDescent="0.25">
      <c r="A178" s="546"/>
      <c r="B178" s="546"/>
      <c r="C178" s="546"/>
      <c r="D178" s="546"/>
      <c r="E178" s="556"/>
      <c r="F178" s="546"/>
      <c r="G178" s="554"/>
      <c r="H178" s="549"/>
      <c r="I178" s="545"/>
      <c r="J178" s="545"/>
      <c r="K178" s="545"/>
      <c r="L178" s="545"/>
      <c r="M178" s="545"/>
      <c r="N178" s="546"/>
      <c r="O178" s="546"/>
      <c r="P178" s="556"/>
      <c r="Q178" s="546"/>
      <c r="R178" s="546"/>
      <c r="S178" s="546"/>
      <c r="T178" s="546"/>
    </row>
    <row r="179" spans="1:20" x14ac:dyDescent="0.25">
      <c r="A179" s="546"/>
      <c r="B179" s="546"/>
      <c r="C179" s="546"/>
      <c r="D179" s="546"/>
      <c r="E179" s="556">
        <f>E171+E172+E173+E174+E175+E176</f>
        <v>0.99161188806058653</v>
      </c>
      <c r="F179" s="546"/>
      <c r="G179" s="554">
        <f>SUM(G171:G178)</f>
        <v>851091907.4000001</v>
      </c>
      <c r="H179" s="549">
        <f>SUM(H171:H178)</f>
        <v>0.99999999999999989</v>
      </c>
      <c r="I179" s="632">
        <f>G179/G169</f>
        <v>0.81838012424039364</v>
      </c>
      <c r="J179" s="545"/>
      <c r="K179" s="545"/>
      <c r="L179" s="545"/>
      <c r="M179" s="545"/>
      <c r="N179" s="546"/>
      <c r="O179" s="546"/>
      <c r="P179" s="556"/>
      <c r="Q179" s="546"/>
      <c r="R179" s="546"/>
      <c r="S179" s="546"/>
      <c r="T179" s="546"/>
    </row>
    <row r="180" spans="1:20" x14ac:dyDescent="0.25">
      <c r="A180" s="546"/>
      <c r="B180" s="546"/>
      <c r="C180" s="546"/>
      <c r="D180" s="546"/>
      <c r="E180" s="546"/>
      <c r="F180" s="546"/>
      <c r="G180" s="554"/>
      <c r="H180" s="549"/>
      <c r="I180" s="545"/>
      <c r="J180" s="545"/>
      <c r="K180" s="545"/>
      <c r="L180" s="545"/>
      <c r="M180" s="545"/>
      <c r="N180" s="546"/>
      <c r="O180" s="546"/>
      <c r="P180" s="556"/>
      <c r="Q180" s="546"/>
      <c r="R180" s="546"/>
      <c r="S180" s="546"/>
      <c r="T180" s="546"/>
    </row>
    <row r="181" spans="1:20" x14ac:dyDescent="0.25">
      <c r="A181" s="546"/>
      <c r="B181" s="546"/>
      <c r="C181" s="546"/>
      <c r="D181" s="546"/>
      <c r="E181" s="546"/>
      <c r="F181" s="546"/>
      <c r="G181" s="554"/>
      <c r="H181" s="549"/>
      <c r="I181" s="545"/>
      <c r="J181" s="545"/>
      <c r="K181" s="545"/>
      <c r="L181" s="545"/>
      <c r="M181" s="545"/>
      <c r="N181" s="546"/>
      <c r="O181" s="546"/>
      <c r="P181" s="556"/>
      <c r="Q181" s="546"/>
      <c r="R181" s="546"/>
      <c r="S181" s="546"/>
      <c r="T181" s="546"/>
    </row>
    <row r="182" spans="1:20" x14ac:dyDescent="0.25">
      <c r="A182" s="546"/>
      <c r="B182" s="546"/>
      <c r="C182" s="546"/>
      <c r="D182" s="546"/>
      <c r="E182" s="546"/>
      <c r="F182" s="546"/>
      <c r="G182" s="554"/>
      <c r="H182" s="549"/>
      <c r="I182" s="545"/>
      <c r="J182" s="545"/>
      <c r="K182" s="545"/>
      <c r="L182" s="545"/>
      <c r="M182" s="545"/>
      <c r="N182" s="546"/>
      <c r="O182" s="546"/>
      <c r="P182" s="556"/>
      <c r="Q182" s="546"/>
      <c r="R182" s="546"/>
      <c r="S182" s="546"/>
    </row>
  </sheetData>
  <mergeCells count="53">
    <mergeCell ref="S5:S14"/>
    <mergeCell ref="P3:R3"/>
    <mergeCell ref="O5:O14"/>
    <mergeCell ref="P5:P14"/>
    <mergeCell ref="Q5:Q14"/>
    <mergeCell ref="R5:R14"/>
    <mergeCell ref="O41:O50"/>
    <mergeCell ref="P41:P50"/>
    <mergeCell ref="Q41:Q50"/>
    <mergeCell ref="R41:R50"/>
    <mergeCell ref="S41:S50"/>
    <mergeCell ref="O16:O28"/>
    <mergeCell ref="P16:P28"/>
    <mergeCell ref="Q16:Q28"/>
    <mergeCell ref="R16:R28"/>
    <mergeCell ref="S16:S28"/>
    <mergeCell ref="O62:O63"/>
    <mergeCell ref="P62:P63"/>
    <mergeCell ref="Q62:Q63"/>
    <mergeCell ref="R62:R63"/>
    <mergeCell ref="S62:S63"/>
    <mergeCell ref="O56:O58"/>
    <mergeCell ref="P56:P58"/>
    <mergeCell ref="Q56:Q58"/>
    <mergeCell ref="R56:R58"/>
    <mergeCell ref="S56:S58"/>
    <mergeCell ref="O77:O80"/>
    <mergeCell ref="P77:P80"/>
    <mergeCell ref="Q77:Q80"/>
    <mergeCell ref="R77:R80"/>
    <mergeCell ref="S77:S80"/>
    <mergeCell ref="O67:O74"/>
    <mergeCell ref="P67:P74"/>
    <mergeCell ref="Q67:Q74"/>
    <mergeCell ref="R67:R74"/>
    <mergeCell ref="S67:S74"/>
    <mergeCell ref="R82:R84"/>
    <mergeCell ref="S82:S84"/>
    <mergeCell ref="O86:O87"/>
    <mergeCell ref="P86:P87"/>
    <mergeCell ref="Q86:Q87"/>
    <mergeCell ref="R86:R87"/>
    <mergeCell ref="S86:S87"/>
    <mergeCell ref="O89:O90"/>
    <mergeCell ref="P89:P91"/>
    <mergeCell ref="O82:O84"/>
    <mergeCell ref="P82:P84"/>
    <mergeCell ref="Q82:Q84"/>
    <mergeCell ref="S32:S38"/>
    <mergeCell ref="R32:R38"/>
    <mergeCell ref="Q32:Q38"/>
    <mergeCell ref="P32:P38"/>
    <mergeCell ref="O32:O38"/>
  </mergeCells>
  <printOptions horizontalCentered="1"/>
  <pageMargins left="0" right="0" top="0" bottom="0" header="0.19685039370078741" footer="0.39370078740157483"/>
  <pageSetup paperSize="9" scale="61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83"/>
  <sheetViews>
    <sheetView topLeftCell="A83" zoomScaleNormal="100" workbookViewId="0">
      <selection activeCell="J29" sqref="J29"/>
    </sheetView>
  </sheetViews>
  <sheetFormatPr defaultRowHeight="15" x14ac:dyDescent="0.25"/>
  <cols>
    <col min="1" max="1" width="5" customWidth="1"/>
    <col min="2" max="2" width="30.140625" customWidth="1"/>
    <col min="3" max="3" width="0.28515625" customWidth="1"/>
    <col min="4" max="4" width="38.28515625" customWidth="1"/>
    <col min="5" max="5" width="7.7109375" bestFit="1" customWidth="1"/>
    <col min="6" max="6" width="6.28515625" customWidth="1"/>
    <col min="7" max="7" width="25.140625" style="1" bestFit="1" customWidth="1"/>
    <col min="8" max="8" width="11.5703125" style="291" customWidth="1"/>
    <col min="9" max="9" width="10.85546875" style="1" customWidth="1"/>
    <col min="10" max="10" width="7.5703125" style="1" customWidth="1"/>
    <col min="11" max="11" width="7.7109375" style="1" customWidth="1"/>
    <col min="12" max="12" width="9.140625" style="1" customWidth="1"/>
    <col min="13" max="13" width="14" style="294" bestFit="1" customWidth="1"/>
    <col min="14" max="14" width="8.140625" style="291" bestFit="1" customWidth="1"/>
    <col min="15" max="15" width="13.5703125" customWidth="1"/>
    <col min="16" max="16" width="6.85546875" customWidth="1"/>
    <col min="17" max="17" width="5" bestFit="1" customWidth="1"/>
    <col min="18" max="18" width="5.85546875" customWidth="1"/>
    <col min="19" max="19" width="23.7109375" bestFit="1" customWidth="1"/>
    <col min="20" max="24" width="14.42578125" style="7" customWidth="1"/>
    <col min="25" max="25" width="14.42578125" customWidth="1"/>
  </cols>
  <sheetData>
    <row r="1" spans="1:25" ht="16.5" customHeight="1" thickBot="1" x14ac:dyDescent="0.3">
      <c r="A1" s="1"/>
      <c r="B1" s="2" t="s">
        <v>336</v>
      </c>
      <c r="C1" s="3"/>
      <c r="D1" s="3"/>
      <c r="E1" s="3"/>
      <c r="F1" s="3"/>
      <c r="G1" s="3"/>
      <c r="H1" s="4"/>
      <c r="I1" s="3"/>
      <c r="J1" s="3"/>
      <c r="K1" s="3"/>
      <c r="L1" s="3"/>
      <c r="M1" s="5"/>
      <c r="N1" s="4"/>
      <c r="O1" s="3"/>
      <c r="P1" s="3"/>
      <c r="Q1" s="3"/>
      <c r="R1" s="3"/>
      <c r="S1" s="6"/>
    </row>
    <row r="2" spans="1:25" ht="15.75" customHeight="1" thickBot="1" x14ac:dyDescent="0.3">
      <c r="A2" s="8"/>
      <c r="B2" s="9" t="s">
        <v>0</v>
      </c>
      <c r="C2" s="10" t="s">
        <v>1</v>
      </c>
      <c r="D2" s="10" t="s">
        <v>2</v>
      </c>
      <c r="E2" s="11" t="s">
        <v>3</v>
      </c>
      <c r="F2" s="12" t="s">
        <v>3</v>
      </c>
      <c r="G2" s="13" t="s">
        <v>4</v>
      </c>
      <c r="H2" s="14"/>
      <c r="I2" s="15" t="s">
        <v>5</v>
      </c>
      <c r="J2" s="16"/>
      <c r="K2" s="16"/>
      <c r="L2" s="17"/>
      <c r="M2" s="18" t="s">
        <v>6</v>
      </c>
      <c r="N2" s="14"/>
      <c r="O2" s="19" t="s">
        <v>7</v>
      </c>
      <c r="P2" s="20" t="s">
        <v>8</v>
      </c>
      <c r="Q2" s="21"/>
      <c r="R2" s="22"/>
      <c r="S2" s="23" t="s">
        <v>9</v>
      </c>
      <c r="T2" s="7" t="s">
        <v>10</v>
      </c>
    </row>
    <row r="3" spans="1:25" ht="15.75" thickBot="1" x14ac:dyDescent="0.3">
      <c r="A3" s="8"/>
      <c r="B3" s="24"/>
      <c r="C3" s="25"/>
      <c r="D3" s="26"/>
      <c r="E3" s="27"/>
      <c r="F3" s="28"/>
      <c r="G3" s="29" t="s">
        <v>11</v>
      </c>
      <c r="H3" s="30" t="s">
        <v>12</v>
      </c>
      <c r="I3" s="31" t="s">
        <v>13</v>
      </c>
      <c r="J3" s="32" t="s">
        <v>14</v>
      </c>
      <c r="K3" s="33" t="s">
        <v>15</v>
      </c>
      <c r="L3" s="34"/>
      <c r="M3" s="35" t="s">
        <v>16</v>
      </c>
      <c r="N3" s="36" t="s">
        <v>17</v>
      </c>
      <c r="O3" s="37"/>
      <c r="P3" s="766" t="s">
        <v>18</v>
      </c>
      <c r="Q3" s="767"/>
      <c r="R3" s="768"/>
      <c r="S3" s="38" t="s">
        <v>19</v>
      </c>
      <c r="T3" s="39"/>
      <c r="U3" s="39"/>
      <c r="V3" s="39"/>
      <c r="W3" s="39"/>
      <c r="X3" s="39"/>
      <c r="Y3" s="39"/>
    </row>
    <row r="4" spans="1:25" s="53" customFormat="1" ht="12" customHeight="1" thickBot="1" x14ac:dyDescent="0.25">
      <c r="A4" s="40"/>
      <c r="B4" s="334" t="s">
        <v>163</v>
      </c>
      <c r="C4" s="335"/>
      <c r="D4" s="336"/>
      <c r="E4" s="336"/>
      <c r="F4" s="336"/>
      <c r="G4" s="582">
        <f>SUM(G5:G14)</f>
        <v>158990505.19</v>
      </c>
      <c r="H4" s="43">
        <f t="shared" ref="H4:H16" si="0">G4/$G$93</f>
        <v>0.15599095053950629</v>
      </c>
      <c r="I4" s="44"/>
      <c r="J4" s="44"/>
      <c r="K4" s="44"/>
      <c r="L4" s="44"/>
      <c r="M4" s="45"/>
      <c r="N4" s="46"/>
      <c r="O4" s="47"/>
      <c r="P4" s="48"/>
      <c r="Q4" s="49"/>
      <c r="R4" s="661"/>
      <c r="S4" s="51"/>
      <c r="T4" s="52"/>
      <c r="U4" s="52"/>
      <c r="V4" s="52"/>
      <c r="W4" s="52"/>
      <c r="X4" s="52"/>
      <c r="Y4" s="52"/>
    </row>
    <row r="5" spans="1:25" s="1" customFormat="1" ht="16.5" customHeight="1" x14ac:dyDescent="0.25">
      <c r="A5" s="8">
        <v>1</v>
      </c>
      <c r="B5" s="54" t="s">
        <v>21</v>
      </c>
      <c r="C5" s="55" t="s">
        <v>22</v>
      </c>
      <c r="D5" s="56" t="s">
        <v>23</v>
      </c>
      <c r="E5" s="57"/>
      <c r="F5" s="57"/>
      <c r="G5" s="665">
        <f>'[1]FFIN2 Maio 2018'!$G$5</f>
        <v>25491812.030000001</v>
      </c>
      <c r="H5" s="58">
        <f t="shared" si="0"/>
        <v>2.5010877126165836E-2</v>
      </c>
      <c r="I5" s="666">
        <f>'[1]FFIN2 Maio 2018'!$I$5</f>
        <v>4.1000000000000003E-3</v>
      </c>
      <c r="J5" s="59" t="s">
        <v>24</v>
      </c>
      <c r="K5" s="59"/>
      <c r="L5" s="60"/>
      <c r="M5" s="61">
        <v>0</v>
      </c>
      <c r="N5" s="62"/>
      <c r="O5" s="769" t="s">
        <v>20</v>
      </c>
      <c r="P5" s="772">
        <f>SUM(G5:G14)/G93</f>
        <v>0.15599095053950629</v>
      </c>
      <c r="Q5" s="775">
        <v>1</v>
      </c>
      <c r="R5" s="778">
        <v>0.4</v>
      </c>
      <c r="S5" s="763" t="s">
        <v>169</v>
      </c>
      <c r="T5" s="63"/>
      <c r="U5" s="64"/>
      <c r="V5" s="63"/>
      <c r="W5" s="63"/>
      <c r="X5" s="63"/>
      <c r="Y5" s="65"/>
    </row>
    <row r="6" spans="1:25" s="1" customFormat="1" ht="18.75" thickBot="1" x14ac:dyDescent="0.3">
      <c r="A6" s="8">
        <v>2</v>
      </c>
      <c r="B6" s="66" t="s">
        <v>21</v>
      </c>
      <c r="C6" s="67" t="s">
        <v>22</v>
      </c>
      <c r="D6" s="68" t="s">
        <v>25</v>
      </c>
      <c r="E6" s="68"/>
      <c r="F6" s="69"/>
      <c r="G6" s="665">
        <f>'[1]FFIN2 Maio 2018'!$G$6</f>
        <v>11143228.130000001</v>
      </c>
      <c r="H6" s="58">
        <f t="shared" si="0"/>
        <v>1.0932997200052894E-2</v>
      </c>
      <c r="I6" s="71">
        <f>'[1]FFIN2 Maio 2018'!$I$6</f>
        <v>6.6E-3</v>
      </c>
      <c r="J6" s="72" t="s">
        <v>26</v>
      </c>
      <c r="K6" s="73"/>
      <c r="L6" s="74"/>
      <c r="M6" s="75"/>
      <c r="N6" s="76"/>
      <c r="O6" s="770"/>
      <c r="P6" s="773"/>
      <c r="Q6" s="776"/>
      <c r="R6" s="779"/>
      <c r="S6" s="764"/>
      <c r="T6" s="63"/>
      <c r="U6" s="64"/>
      <c r="V6" s="63"/>
      <c r="W6" s="63"/>
      <c r="X6" s="63"/>
      <c r="Y6" s="65"/>
    </row>
    <row r="7" spans="1:25" s="1" customFormat="1" ht="18" x14ac:dyDescent="0.25">
      <c r="A7" s="8">
        <v>3</v>
      </c>
      <c r="B7" s="54" t="s">
        <v>21</v>
      </c>
      <c r="C7" s="55" t="s">
        <v>22</v>
      </c>
      <c r="D7" s="56" t="s">
        <v>27</v>
      </c>
      <c r="E7" s="77"/>
      <c r="F7" s="68"/>
      <c r="G7" s="667">
        <f>'[1]FFIN2 Maio 2018'!$G$7</f>
        <v>24169030.77</v>
      </c>
      <c r="H7" s="58">
        <f t="shared" si="0"/>
        <v>2.3713051788378153E-2</v>
      </c>
      <c r="I7" s="71">
        <f>'[1]FFIN2 Maio 2018'!$I$7</f>
        <v>-2.0000000000000001E-4</v>
      </c>
      <c r="J7" s="59" t="s">
        <v>28</v>
      </c>
      <c r="K7" s="79"/>
      <c r="L7" s="668">
        <f>'[1]FFIN2 Maio 2018'!$L$7</f>
        <v>-1.9174</v>
      </c>
      <c r="M7" s="81"/>
      <c r="N7" s="82"/>
      <c r="O7" s="770"/>
      <c r="P7" s="773"/>
      <c r="Q7" s="776"/>
      <c r="R7" s="779"/>
      <c r="S7" s="764"/>
      <c r="T7" s="63"/>
      <c r="U7" s="64"/>
      <c r="V7" s="63"/>
      <c r="W7" s="63"/>
      <c r="X7" s="63"/>
      <c r="Y7" s="65"/>
    </row>
    <row r="8" spans="1:25" s="1" customFormat="1" ht="18.75" thickBot="1" x14ac:dyDescent="0.3">
      <c r="A8" s="8">
        <v>4</v>
      </c>
      <c r="B8" s="54" t="s">
        <v>21</v>
      </c>
      <c r="C8" s="67" t="s">
        <v>22</v>
      </c>
      <c r="D8" s="83" t="s">
        <v>29</v>
      </c>
      <c r="E8" s="83"/>
      <c r="F8" s="68"/>
      <c r="G8" s="669">
        <f>'[1]FFIN2 Maio 2018'!$G$8</f>
        <v>27337853.109999999</v>
      </c>
      <c r="H8" s="58">
        <f t="shared" si="0"/>
        <v>2.682209033326928E-2</v>
      </c>
      <c r="I8" s="71">
        <f>'[1]FFIN2 Maio 2018'!$I$8</f>
        <v>-6.0000000000000001E-3</v>
      </c>
      <c r="J8" s="84" t="s">
        <v>30</v>
      </c>
      <c r="K8" s="79"/>
      <c r="L8" s="85"/>
      <c r="M8" s="75"/>
      <c r="N8" s="76"/>
      <c r="O8" s="770"/>
      <c r="P8" s="773"/>
      <c r="Q8" s="776"/>
      <c r="R8" s="779"/>
      <c r="S8" s="764"/>
      <c r="T8" s="63"/>
      <c r="U8" s="64"/>
      <c r="V8" s="63"/>
      <c r="W8" s="63"/>
      <c r="X8" s="63"/>
      <c r="Y8" s="65"/>
    </row>
    <row r="9" spans="1:25" s="1" customFormat="1" ht="18" x14ac:dyDescent="0.25">
      <c r="A9" s="8">
        <v>5</v>
      </c>
      <c r="B9" s="66" t="s">
        <v>21</v>
      </c>
      <c r="C9" s="368" t="s">
        <v>22</v>
      </c>
      <c r="D9" s="83" t="s">
        <v>31</v>
      </c>
      <c r="E9" s="83"/>
      <c r="F9" s="77"/>
      <c r="G9" s="667">
        <f>'[1]FFIN2 Maio 2018'!$G$9</f>
        <v>11095952.140000001</v>
      </c>
      <c r="H9" s="58">
        <f t="shared" si="0"/>
        <v>1.0886613130708734E-2</v>
      </c>
      <c r="I9" s="670">
        <f>'[1]FFIN2 Maio 2018'!$I$9</f>
        <v>-6.0000000000000001E-3</v>
      </c>
      <c r="J9" s="369" t="s">
        <v>32</v>
      </c>
      <c r="K9" s="370"/>
      <c r="L9" s="371"/>
      <c r="M9" s="75"/>
      <c r="N9" s="86"/>
      <c r="O9" s="770"/>
      <c r="P9" s="773"/>
      <c r="Q9" s="776"/>
      <c r="R9" s="779"/>
      <c r="S9" s="764"/>
      <c r="T9" s="63"/>
      <c r="U9" s="64"/>
      <c r="V9" s="63"/>
      <c r="W9" s="63"/>
      <c r="X9" s="63"/>
      <c r="Y9" s="65"/>
    </row>
    <row r="10" spans="1:25" s="1" customFormat="1" ht="18" x14ac:dyDescent="0.25">
      <c r="A10" s="8">
        <v>6</v>
      </c>
      <c r="B10" s="54" t="s">
        <v>21</v>
      </c>
      <c r="C10" s="136" t="s">
        <v>22</v>
      </c>
      <c r="D10" s="68" t="s">
        <v>33</v>
      </c>
      <c r="E10" s="68"/>
      <c r="F10" s="68"/>
      <c r="G10" s="665">
        <f>'[1]FFIN2 Maio 2018'!$G$10</f>
        <v>19297308.079999998</v>
      </c>
      <c r="H10" s="58">
        <f t="shared" si="0"/>
        <v>1.893324023755745E-2</v>
      </c>
      <c r="I10" s="71">
        <f>'[1]FFIN2 Maio 2018'!$I$10</f>
        <v>-6.0000000000000001E-3</v>
      </c>
      <c r="J10" s="72" t="s">
        <v>34</v>
      </c>
      <c r="K10" s="79"/>
      <c r="L10" s="79"/>
      <c r="M10" s="61"/>
      <c r="N10" s="76"/>
      <c r="O10" s="770"/>
      <c r="P10" s="773"/>
      <c r="Q10" s="776"/>
      <c r="R10" s="779"/>
      <c r="S10" s="764"/>
      <c r="T10" s="64"/>
      <c r="U10" s="64"/>
      <c r="V10" s="63"/>
      <c r="W10" s="64"/>
      <c r="X10" s="64"/>
      <c r="Y10" s="90"/>
    </row>
    <row r="11" spans="1:25" s="1" customFormat="1" ht="18" x14ac:dyDescent="0.25">
      <c r="A11" s="8"/>
      <c r="B11" s="372" t="s">
        <v>192</v>
      </c>
      <c r="C11" s="55" t="s">
        <v>22</v>
      </c>
      <c r="D11" s="56" t="s">
        <v>187</v>
      </c>
      <c r="E11" s="56"/>
      <c r="F11" s="56"/>
      <c r="G11" s="669">
        <f>'[2]FFPREV Maio 2018'!$G$5</f>
        <v>12745906.01</v>
      </c>
      <c r="H11" s="58">
        <f t="shared" si="0"/>
        <v>1.2505438558177248E-2</v>
      </c>
      <c r="I11" s="671">
        <f>'[2]FFPREV Maio 2018'!$I$5</f>
        <v>4.1000000000000003E-3</v>
      </c>
      <c r="J11" s="359" t="s">
        <v>24</v>
      </c>
      <c r="K11" s="359"/>
      <c r="L11" s="374"/>
      <c r="M11" s="153"/>
      <c r="N11" s="375"/>
      <c r="O11" s="770"/>
      <c r="P11" s="773"/>
      <c r="Q11" s="776"/>
      <c r="R11" s="779"/>
      <c r="S11" s="764"/>
      <c r="T11" s="64"/>
      <c r="U11" s="64"/>
      <c r="V11" s="63"/>
      <c r="W11" s="64"/>
      <c r="X11" s="64"/>
      <c r="Y11" s="90"/>
    </row>
    <row r="12" spans="1:25" s="1" customFormat="1" ht="18.75" thickBot="1" x14ac:dyDescent="0.3">
      <c r="A12" s="8"/>
      <c r="B12" s="361" t="s">
        <v>192</v>
      </c>
      <c r="C12" s="67" t="s">
        <v>22</v>
      </c>
      <c r="D12" s="68" t="s">
        <v>188</v>
      </c>
      <c r="E12" s="83"/>
      <c r="F12" s="83"/>
      <c r="G12" s="667">
        <f>'[2]FFPREV Maio 2018'!$G$6</f>
        <v>6360271.25</v>
      </c>
      <c r="H12" s="58">
        <f t="shared" si="0"/>
        <v>6.2402767812514415E-3</v>
      </c>
      <c r="I12" s="666">
        <f>'[2]FFPREV Maio 2018'!$I$6</f>
        <v>-2.0000000000000001E-4</v>
      </c>
      <c r="J12" s="351" t="s">
        <v>26</v>
      </c>
      <c r="K12" s="352"/>
      <c r="L12" s="353"/>
      <c r="M12" s="153"/>
      <c r="N12" s="76"/>
      <c r="O12" s="770"/>
      <c r="P12" s="773"/>
      <c r="Q12" s="776"/>
      <c r="R12" s="779"/>
      <c r="S12" s="764"/>
      <c r="T12" s="64"/>
      <c r="U12" s="64"/>
      <c r="V12" s="63"/>
      <c r="W12" s="64"/>
      <c r="X12" s="64"/>
      <c r="Y12" s="90"/>
    </row>
    <row r="13" spans="1:25" s="1" customFormat="1" ht="18.75" thickBot="1" x14ac:dyDescent="0.3">
      <c r="A13" s="8"/>
      <c r="B13" s="361" t="s">
        <v>192</v>
      </c>
      <c r="C13" s="67" t="s">
        <v>22</v>
      </c>
      <c r="D13" s="68" t="s">
        <v>189</v>
      </c>
      <c r="E13" s="83"/>
      <c r="F13" s="83"/>
      <c r="G13" s="672">
        <f>'[2]FFPREV Maio 2018'!$G$7</f>
        <v>11057246.029999999</v>
      </c>
      <c r="H13" s="58">
        <f t="shared" si="0"/>
        <v>1.0848637259864298E-2</v>
      </c>
      <c r="I13" s="71">
        <f>'[2]FFPREV Maio 2018'!$I$7</f>
        <v>-1.4E-3</v>
      </c>
      <c r="J13" s="354" t="s">
        <v>190</v>
      </c>
      <c r="K13" s="352"/>
      <c r="L13" s="360"/>
      <c r="M13" s="153"/>
      <c r="N13" s="76"/>
      <c r="O13" s="770"/>
      <c r="P13" s="773"/>
      <c r="Q13" s="776"/>
      <c r="R13" s="779"/>
      <c r="S13" s="764"/>
      <c r="T13" s="64"/>
      <c r="U13" s="64"/>
      <c r="V13" s="63"/>
      <c r="W13" s="64"/>
      <c r="X13" s="64"/>
      <c r="Y13" s="90"/>
    </row>
    <row r="14" spans="1:25" s="1" customFormat="1" ht="18.75" thickBot="1" x14ac:dyDescent="0.3">
      <c r="A14" s="8"/>
      <c r="B14" s="365" t="s">
        <v>193</v>
      </c>
      <c r="C14" s="67" t="s">
        <v>22</v>
      </c>
      <c r="D14" s="88" t="s">
        <v>191</v>
      </c>
      <c r="E14" s="88"/>
      <c r="F14" s="88"/>
      <c r="G14" s="673">
        <f>'[2]FFPREV Maio 2018'!$G$8</f>
        <v>10291897.640000001</v>
      </c>
      <c r="H14" s="58">
        <f t="shared" si="0"/>
        <v>1.0097728124080952E-2</v>
      </c>
      <c r="I14" s="674">
        <f>'[2]FFPREV Maio 2018'!$I$8</f>
        <v>-6.0000000000000001E-3</v>
      </c>
      <c r="J14" s="355" t="s">
        <v>30</v>
      </c>
      <c r="K14" s="355"/>
      <c r="L14" s="356"/>
      <c r="M14" s="170"/>
      <c r="N14" s="76"/>
      <c r="O14" s="771"/>
      <c r="P14" s="774"/>
      <c r="Q14" s="777"/>
      <c r="R14" s="780"/>
      <c r="S14" s="765"/>
      <c r="T14" s="64"/>
      <c r="U14" s="64"/>
      <c r="V14" s="63"/>
      <c r="W14" s="64"/>
      <c r="X14" s="64"/>
      <c r="Y14" s="90"/>
    </row>
    <row r="15" spans="1:25" s="53" customFormat="1" ht="18.75" thickBot="1" x14ac:dyDescent="0.25">
      <c r="A15" s="40"/>
      <c r="B15" s="334" t="s">
        <v>164</v>
      </c>
      <c r="C15" s="335"/>
      <c r="D15" s="336"/>
      <c r="E15" s="336"/>
      <c r="F15" s="336"/>
      <c r="G15" s="582">
        <f>SUM(G16:G28)</f>
        <v>403902861.95000005</v>
      </c>
      <c r="H15" s="58">
        <f t="shared" si="0"/>
        <v>0.39628272949956211</v>
      </c>
      <c r="I15" s="91"/>
      <c r="J15" s="92"/>
      <c r="K15" s="92"/>
      <c r="L15" s="44"/>
      <c r="M15" s="93"/>
      <c r="N15" s="131"/>
      <c r="O15" s="572"/>
      <c r="P15" s="320"/>
      <c r="Q15" s="658"/>
      <c r="R15" s="658"/>
      <c r="S15" s="573"/>
      <c r="T15" s="52"/>
      <c r="U15" s="52"/>
      <c r="V15" s="52"/>
      <c r="W15" s="52"/>
      <c r="X15" s="52"/>
      <c r="Y15" s="52"/>
    </row>
    <row r="16" spans="1:25" s="1" customFormat="1" ht="15.75" customHeight="1" thickBot="1" x14ac:dyDescent="0.3">
      <c r="A16" s="8">
        <v>7</v>
      </c>
      <c r="B16" s="636" t="s">
        <v>35</v>
      </c>
      <c r="C16" s="98" t="s">
        <v>36</v>
      </c>
      <c r="D16" s="99" t="s">
        <v>37</v>
      </c>
      <c r="E16" s="653" t="s">
        <v>38</v>
      </c>
      <c r="F16" s="100" t="s">
        <v>39</v>
      </c>
      <c r="G16" s="675">
        <f>'[1]FFIN2 Maio 2018'!$G$12</f>
        <v>65739490.810000002</v>
      </c>
      <c r="H16" s="199">
        <f t="shared" si="0"/>
        <v>6.4499233128293948E-2</v>
      </c>
      <c r="I16" s="142">
        <f>'[1]FFIN2 Maio 2018'!$I$12</f>
        <v>-1.5800000000000002E-2</v>
      </c>
      <c r="J16" s="637"/>
      <c r="K16" s="144"/>
      <c r="L16" s="145" t="s">
        <v>40</v>
      </c>
      <c r="M16" s="676">
        <f>'[1]FFIN2 Maio 2018'!$M$12</f>
        <v>1277276763.3299999</v>
      </c>
      <c r="N16" s="106">
        <f t="shared" ref="N16:N28" si="1">G16/M16</f>
        <v>5.146847785644356E-2</v>
      </c>
      <c r="O16" s="781" t="s">
        <v>41</v>
      </c>
      <c r="P16" s="784">
        <f>(SUM(G16:G28)/G93)</f>
        <v>0.39628272949956211</v>
      </c>
      <c r="Q16" s="787">
        <v>1</v>
      </c>
      <c r="R16" s="790">
        <v>0.5</v>
      </c>
      <c r="S16" s="793" t="s">
        <v>296</v>
      </c>
      <c r="T16" s="64"/>
      <c r="U16" s="64"/>
      <c r="V16" s="63"/>
      <c r="W16" s="64"/>
      <c r="X16" s="64"/>
      <c r="Y16" s="90"/>
    </row>
    <row r="17" spans="1:25" s="1" customFormat="1" ht="15.75" customHeight="1" thickBot="1" x14ac:dyDescent="0.3">
      <c r="A17" s="8"/>
      <c r="B17" s="54" t="s">
        <v>35</v>
      </c>
      <c r="C17" s="98" t="s">
        <v>77</v>
      </c>
      <c r="D17" s="68" t="s">
        <v>330</v>
      </c>
      <c r="E17" s="190" t="s">
        <v>38</v>
      </c>
      <c r="F17" s="115" t="s">
        <v>39</v>
      </c>
      <c r="G17" s="665">
        <f>'[1]FFIN2 Maio 2018'!$G$13</f>
        <v>24670287.68</v>
      </c>
      <c r="H17" s="78">
        <f>G17/$G$70</f>
        <v>3.5181121868714524</v>
      </c>
      <c r="I17" s="71">
        <f>'[1]FFIN2 Maio 2018'!$I$13</f>
        <v>-1.9099999999999999E-2</v>
      </c>
      <c r="J17" s="111"/>
      <c r="K17" s="147"/>
      <c r="L17" s="118" t="s">
        <v>40</v>
      </c>
      <c r="M17" s="677">
        <f>'[1]FFIN2 Maio 2018'!$M$13</f>
        <v>3054612016.3800001</v>
      </c>
      <c r="N17" s="119">
        <f t="shared" si="1"/>
        <v>8.0764062826010185E-3</v>
      </c>
      <c r="O17" s="782"/>
      <c r="P17" s="785"/>
      <c r="Q17" s="788"/>
      <c r="R17" s="791"/>
      <c r="S17" s="794"/>
      <c r="T17" s="64"/>
      <c r="U17" s="64"/>
      <c r="V17" s="63"/>
      <c r="W17" s="64"/>
      <c r="X17" s="64"/>
      <c r="Y17" s="90"/>
    </row>
    <row r="18" spans="1:25" s="1" customFormat="1" ht="15.75" customHeight="1" thickBot="1" x14ac:dyDescent="0.3">
      <c r="A18" s="8"/>
      <c r="B18" s="54" t="s">
        <v>322</v>
      </c>
      <c r="C18" s="98" t="s">
        <v>36</v>
      </c>
      <c r="D18" s="83" t="s">
        <v>37</v>
      </c>
      <c r="E18" s="110" t="s">
        <v>38</v>
      </c>
      <c r="F18" s="115" t="s">
        <v>39</v>
      </c>
      <c r="G18" s="665">
        <f>'[2]FFPREV Maio 2018'!$G$10</f>
        <v>14801055.289999999</v>
      </c>
      <c r="H18" s="70">
        <f>G18/$G$93</f>
        <v>1.4521814877660418E-2</v>
      </c>
      <c r="I18" s="71">
        <f>'[2]FFPREV Maio 2018'!$I$10</f>
        <v>-1.5800000000000002E-2</v>
      </c>
      <c r="J18" s="111"/>
      <c r="K18" s="147"/>
      <c r="L18" s="118" t="s">
        <v>40</v>
      </c>
      <c r="M18" s="677">
        <f>'[2]FFPREV Maio 2018'!$M$10</f>
        <v>1277276763.3299999</v>
      </c>
      <c r="N18" s="128">
        <f t="shared" si="1"/>
        <v>1.158797820091241E-2</v>
      </c>
      <c r="O18" s="782"/>
      <c r="P18" s="785"/>
      <c r="Q18" s="788"/>
      <c r="R18" s="791"/>
      <c r="S18" s="794"/>
      <c r="T18" s="64"/>
      <c r="U18" s="64"/>
      <c r="V18" s="63"/>
      <c r="W18" s="64"/>
      <c r="X18" s="64"/>
      <c r="Y18" s="90"/>
    </row>
    <row r="19" spans="1:25" s="1" customFormat="1" ht="15.75" customHeight="1" x14ac:dyDescent="0.25">
      <c r="A19" s="8"/>
      <c r="B19" s="107" t="s">
        <v>331</v>
      </c>
      <c r="C19" s="98" t="s">
        <v>77</v>
      </c>
      <c r="D19" s="83" t="s">
        <v>330</v>
      </c>
      <c r="E19" s="190" t="s">
        <v>38</v>
      </c>
      <c r="F19" s="115" t="s">
        <v>39</v>
      </c>
      <c r="G19" s="672">
        <f>'[2]FFPREV Maio 2018'!$G$11</f>
        <v>9868115.0700000003</v>
      </c>
      <c r="H19" s="78">
        <f>G19/$G$36</f>
        <v>0.35943130694345099</v>
      </c>
      <c r="I19" s="671">
        <f>'[2]FFPREV Maio 2018'!$I$11</f>
        <v>-1.9099999999999999E-2</v>
      </c>
      <c r="J19" s="411"/>
      <c r="K19" s="147"/>
      <c r="L19" s="118" t="s">
        <v>40</v>
      </c>
      <c r="M19" s="677">
        <f>'[2]FFPREV Maio 2018'!$M$11</f>
        <v>3054612016.3800001</v>
      </c>
      <c r="N19" s="128">
        <f t="shared" si="1"/>
        <v>3.2305625123856601E-3</v>
      </c>
      <c r="O19" s="782"/>
      <c r="P19" s="785"/>
      <c r="Q19" s="788"/>
      <c r="R19" s="791"/>
      <c r="S19" s="794"/>
      <c r="T19" s="64"/>
      <c r="U19" s="64"/>
      <c r="V19" s="63"/>
      <c r="W19" s="64"/>
      <c r="X19" s="64"/>
      <c r="Y19" s="90"/>
    </row>
    <row r="20" spans="1:25" s="1" customFormat="1" ht="15.75" customHeight="1" thickBot="1" x14ac:dyDescent="0.3">
      <c r="A20" s="8">
        <v>8</v>
      </c>
      <c r="B20" s="107" t="s">
        <v>42</v>
      </c>
      <c r="C20" s="108" t="s">
        <v>43</v>
      </c>
      <c r="D20" s="56" t="s">
        <v>44</v>
      </c>
      <c r="E20" s="109" t="s">
        <v>38</v>
      </c>
      <c r="F20" s="110" t="s">
        <v>39</v>
      </c>
      <c r="G20" s="665">
        <f>'[1]FFIN2 Maio 2018'!$G$14</f>
        <v>29518837.07</v>
      </c>
      <c r="H20" s="70">
        <f t="shared" ref="H20:H28" si="2">G20/$G$93</f>
        <v>2.8961927304195608E-2</v>
      </c>
      <c r="I20" s="678">
        <f>'[1]FFIN2 Maio 2018'!$I$14</f>
        <v>-1.8568000000000001E-2</v>
      </c>
      <c r="J20" s="111"/>
      <c r="K20" s="112"/>
      <c r="L20" s="113" t="s">
        <v>45</v>
      </c>
      <c r="M20" s="679">
        <f>'[1]FFIN2 Maio 2018'!$M$14</f>
        <v>5820256953.7399998</v>
      </c>
      <c r="N20" s="114">
        <f t="shared" si="1"/>
        <v>5.0717412142829345E-3</v>
      </c>
      <c r="O20" s="782"/>
      <c r="P20" s="785"/>
      <c r="Q20" s="788"/>
      <c r="R20" s="791"/>
      <c r="S20" s="794"/>
      <c r="T20" s="64"/>
      <c r="U20" s="64"/>
      <c r="V20" s="63"/>
      <c r="W20" s="64"/>
      <c r="X20" s="64"/>
      <c r="Y20" s="90"/>
    </row>
    <row r="21" spans="1:25" s="1" customFormat="1" ht="15.75" customHeight="1" thickBot="1" x14ac:dyDescent="0.3">
      <c r="A21" s="8"/>
      <c r="B21" s="107" t="s">
        <v>194</v>
      </c>
      <c r="C21" s="108" t="s">
        <v>43</v>
      </c>
      <c r="D21" s="56" t="s">
        <v>44</v>
      </c>
      <c r="E21" s="109" t="s">
        <v>38</v>
      </c>
      <c r="F21" s="110" t="s">
        <v>39</v>
      </c>
      <c r="G21" s="669">
        <f>'[2]FFPREV Maio 2018'!$G$12</f>
        <v>17698441.809999999</v>
      </c>
      <c r="H21" s="70">
        <f t="shared" si="2"/>
        <v>1.7364538578645169E-2</v>
      </c>
      <c r="I21" s="678">
        <f>'[2]FFPREV Maio 2018'!$I$12</f>
        <v>-1.8568000000000001E-2</v>
      </c>
      <c r="J21" s="111"/>
      <c r="K21" s="377"/>
      <c r="L21" s="211" t="s">
        <v>45</v>
      </c>
      <c r="M21" s="680">
        <f>'[2]FFPREV Maio 2018'!$M$12</f>
        <v>5820256953.7399998</v>
      </c>
      <c r="N21" s="378">
        <f t="shared" si="1"/>
        <v>3.0408351299038914E-3</v>
      </c>
      <c r="O21" s="782"/>
      <c r="P21" s="785"/>
      <c r="Q21" s="788"/>
      <c r="R21" s="791"/>
      <c r="S21" s="794"/>
      <c r="T21" s="64"/>
      <c r="U21" s="64"/>
      <c r="V21" s="63"/>
      <c r="W21" s="64"/>
      <c r="X21" s="64"/>
      <c r="Y21" s="90"/>
    </row>
    <row r="22" spans="1:25" s="1" customFormat="1" ht="15.75" customHeight="1" thickBot="1" x14ac:dyDescent="0.3">
      <c r="A22" s="8"/>
      <c r="B22" s="54" t="s">
        <v>55</v>
      </c>
      <c r="C22" s="98" t="s">
        <v>36</v>
      </c>
      <c r="D22" s="68" t="s">
        <v>56</v>
      </c>
      <c r="E22" s="124" t="s">
        <v>38</v>
      </c>
      <c r="F22" s="124" t="s">
        <v>39</v>
      </c>
      <c r="G22" s="681">
        <f>'[1]FFIN2 Maio 2018'!$G$18</f>
        <v>6933186.2300000004</v>
      </c>
      <c r="H22" s="70">
        <f t="shared" si="2"/>
        <v>6.8023830038948761E-3</v>
      </c>
      <c r="I22" s="71">
        <f>'[1]FFIN2 Maio 2018'!$I$18</f>
        <v>-1.5900000000000001E-2</v>
      </c>
      <c r="J22" s="125"/>
      <c r="K22" s="126"/>
      <c r="L22" s="127" t="s">
        <v>53</v>
      </c>
      <c r="M22" s="682">
        <f>'[1]FFIN2 Maio 2018'!$M$18</f>
        <v>1549175143.3199999</v>
      </c>
      <c r="N22" s="128">
        <f t="shared" si="1"/>
        <v>4.4754050307970056E-3</v>
      </c>
      <c r="O22" s="782"/>
      <c r="P22" s="785"/>
      <c r="Q22" s="788"/>
      <c r="R22" s="791"/>
      <c r="S22" s="794"/>
      <c r="T22" s="64"/>
      <c r="U22" s="64"/>
      <c r="V22" s="63"/>
      <c r="W22" s="64"/>
      <c r="X22" s="64"/>
      <c r="Y22" s="90"/>
    </row>
    <row r="23" spans="1:25" s="1" customFormat="1" ht="15.75" customHeight="1" x14ac:dyDescent="0.25">
      <c r="A23" s="8">
        <v>9</v>
      </c>
      <c r="B23" s="107" t="s">
        <v>46</v>
      </c>
      <c r="C23" s="98" t="s">
        <v>36</v>
      </c>
      <c r="D23" s="68" t="s">
        <v>47</v>
      </c>
      <c r="E23" s="115" t="s">
        <v>48</v>
      </c>
      <c r="F23" s="115" t="s">
        <v>49</v>
      </c>
      <c r="G23" s="665">
        <f>'[1]FFIN2 Maio 2018'!$G$15</f>
        <v>12281258.609999999</v>
      </c>
      <c r="H23" s="78">
        <f t="shared" si="2"/>
        <v>1.2049557312280879E-2</v>
      </c>
      <c r="I23" s="666">
        <f>'[1]FFIN2 Maio 2018'!$I$15</f>
        <v>-3.39E-2</v>
      </c>
      <c r="J23" s="117"/>
      <c r="K23" s="112"/>
      <c r="L23" s="118" t="s">
        <v>40</v>
      </c>
      <c r="M23" s="679">
        <f>'[1]FFIN2 Maio 2018'!$M$15</f>
        <v>289675897.22000003</v>
      </c>
      <c r="N23" s="119">
        <f t="shared" si="1"/>
        <v>4.2396549826417752E-2</v>
      </c>
      <c r="O23" s="782"/>
      <c r="P23" s="785"/>
      <c r="Q23" s="788"/>
      <c r="R23" s="791"/>
      <c r="S23" s="794"/>
      <c r="T23" s="64"/>
      <c r="U23" s="64"/>
      <c r="V23" s="63"/>
      <c r="W23" s="64"/>
      <c r="X23" s="64"/>
      <c r="Y23" s="90"/>
    </row>
    <row r="24" spans="1:25" s="1" customFormat="1" ht="18.75" thickBot="1" x14ac:dyDescent="0.3">
      <c r="A24" s="8">
        <v>10</v>
      </c>
      <c r="B24" s="120" t="s">
        <v>50</v>
      </c>
      <c r="C24" s="88" t="s">
        <v>51</v>
      </c>
      <c r="D24" s="68" t="s">
        <v>52</v>
      </c>
      <c r="E24" s="110" t="s">
        <v>38</v>
      </c>
      <c r="F24" s="110" t="s">
        <v>38</v>
      </c>
      <c r="G24" s="683">
        <f>'[1]FFIN2 Maio 2018'!$G$16</f>
        <v>52783092.840000004</v>
      </c>
      <c r="H24" s="204">
        <f t="shared" si="2"/>
        <v>5.1787273804099351E-2</v>
      </c>
      <c r="I24" s="71">
        <f>'[1]FFIN2 Maio 2018'!$I$16</f>
        <v>-1.5869999999999999E-2</v>
      </c>
      <c r="J24" s="121"/>
      <c r="K24" s="122"/>
      <c r="L24" s="123" t="s">
        <v>53</v>
      </c>
      <c r="M24" s="684">
        <f>'[1]FFIN2 Maio 2018'!$M$16</f>
        <v>7970993081.7200003</v>
      </c>
      <c r="N24" s="119">
        <f t="shared" si="1"/>
        <v>6.6218967070801093E-3</v>
      </c>
      <c r="O24" s="782"/>
      <c r="P24" s="785"/>
      <c r="Q24" s="788"/>
      <c r="R24" s="791"/>
      <c r="S24" s="794"/>
      <c r="T24" s="64"/>
      <c r="U24" s="64"/>
      <c r="V24" s="63"/>
      <c r="W24" s="64"/>
      <c r="X24" s="64"/>
      <c r="Y24" s="90"/>
    </row>
    <row r="25" spans="1:25" s="1" customFormat="1" ht="18.75" thickBot="1" x14ac:dyDescent="0.3">
      <c r="A25" s="8">
        <v>11</v>
      </c>
      <c r="B25" s="120" t="s">
        <v>50</v>
      </c>
      <c r="C25" s="88" t="s">
        <v>51</v>
      </c>
      <c r="D25" s="68" t="s">
        <v>54</v>
      </c>
      <c r="E25" s="110" t="s">
        <v>38</v>
      </c>
      <c r="F25" s="110" t="s">
        <v>38</v>
      </c>
      <c r="G25" s="683">
        <f>'[1]FFIN2 Maio 2018'!$G$17</f>
        <v>81185673.530000001</v>
      </c>
      <c r="H25" s="78">
        <f t="shared" si="2"/>
        <v>7.9654004300448472E-2</v>
      </c>
      <c r="I25" s="71">
        <f>'[1]FFIN2 Maio 2018'!$I$17</f>
        <v>-1.9134999999999999E-2</v>
      </c>
      <c r="J25" s="121"/>
      <c r="K25" s="122"/>
      <c r="L25" s="123" t="s">
        <v>53</v>
      </c>
      <c r="M25" s="684">
        <f>'[1]FFIN2 Maio 2018'!$M$17</f>
        <v>2993117129.6599998</v>
      </c>
      <c r="N25" s="119">
        <f t="shared" si="1"/>
        <v>2.7124121781101899E-2</v>
      </c>
      <c r="O25" s="782"/>
      <c r="P25" s="785"/>
      <c r="Q25" s="788"/>
      <c r="R25" s="791"/>
      <c r="S25" s="794"/>
      <c r="T25" s="64"/>
      <c r="U25" s="64"/>
      <c r="V25" s="63"/>
      <c r="W25" s="64"/>
      <c r="X25" s="64"/>
      <c r="Y25" s="90"/>
    </row>
    <row r="26" spans="1:25" s="1" customFormat="1" ht="18.75" thickBot="1" x14ac:dyDescent="0.3">
      <c r="A26" s="8"/>
      <c r="B26" s="120" t="s">
        <v>196</v>
      </c>
      <c r="C26" s="88" t="s">
        <v>51</v>
      </c>
      <c r="D26" s="68" t="s">
        <v>54</v>
      </c>
      <c r="E26" s="115" t="s">
        <v>38</v>
      </c>
      <c r="F26" s="115" t="s">
        <v>38</v>
      </c>
      <c r="G26" s="672">
        <f>'[2]FFPREV Maio 2018'!$G$13</f>
        <v>41542012.280000001</v>
      </c>
      <c r="H26" s="204">
        <f t="shared" si="2"/>
        <v>4.0758270282473606E-2</v>
      </c>
      <c r="I26" s="71">
        <f>'[2]FFPREV Maio 2018'!$I$13</f>
        <v>-1.9134999999999999E-2</v>
      </c>
      <c r="J26" s="379"/>
      <c r="K26" s="380"/>
      <c r="L26" s="381" t="s">
        <v>53</v>
      </c>
      <c r="M26" s="685">
        <f>'[2]FFPREV Maio 2018'!$M$13</f>
        <v>2993117129.6599998</v>
      </c>
      <c r="N26" s="119">
        <f t="shared" si="1"/>
        <v>1.3879180292793595E-2</v>
      </c>
      <c r="O26" s="782"/>
      <c r="P26" s="785"/>
      <c r="Q26" s="788"/>
      <c r="R26" s="791"/>
      <c r="S26" s="794"/>
      <c r="T26" s="64"/>
      <c r="U26" s="64"/>
      <c r="V26" s="63"/>
      <c r="W26" s="64"/>
      <c r="X26" s="64"/>
      <c r="Y26" s="90"/>
    </row>
    <row r="27" spans="1:25" s="1" customFormat="1" ht="18" x14ac:dyDescent="0.25">
      <c r="A27" s="8">
        <v>12</v>
      </c>
      <c r="B27" s="54" t="s">
        <v>196</v>
      </c>
      <c r="C27" s="197" t="s">
        <v>51</v>
      </c>
      <c r="D27" s="83" t="s">
        <v>197</v>
      </c>
      <c r="E27" s="115" t="s">
        <v>38</v>
      </c>
      <c r="F27" s="115" t="s">
        <v>38</v>
      </c>
      <c r="G27" s="672">
        <f>'[2]FFPREV Maio 2018'!$G$14</f>
        <v>42203347.939999998</v>
      </c>
      <c r="H27" s="70">
        <f t="shared" si="2"/>
        <v>4.1407129018445218E-2</v>
      </c>
      <c r="I27" s="71">
        <f>'[2]FFPREV Maio 2018'!$I$14</f>
        <v>-1.5869999999999999E-2</v>
      </c>
      <c r="J27" s="125"/>
      <c r="K27" s="383"/>
      <c r="L27" s="381" t="s">
        <v>53</v>
      </c>
      <c r="M27" s="686">
        <f>'[2]FFPREV Maio 2018'!$M$14</f>
        <v>7970993081.7200003</v>
      </c>
      <c r="N27" s="119">
        <f t="shared" si="1"/>
        <v>5.2946160544017507E-3</v>
      </c>
      <c r="O27" s="782"/>
      <c r="P27" s="785"/>
      <c r="Q27" s="788"/>
      <c r="R27" s="791"/>
      <c r="S27" s="794"/>
      <c r="T27" s="64"/>
      <c r="U27" s="64"/>
      <c r="V27" s="63"/>
      <c r="W27" s="64"/>
      <c r="X27" s="64"/>
      <c r="Y27" s="90"/>
    </row>
    <row r="28" spans="1:25" s="1" customFormat="1" ht="18.75" thickBot="1" x14ac:dyDescent="0.3">
      <c r="A28" s="129">
        <v>13</v>
      </c>
      <c r="B28" s="662" t="s">
        <v>212</v>
      </c>
      <c r="C28" s="87" t="s">
        <v>100</v>
      </c>
      <c r="D28" s="210" t="s">
        <v>338</v>
      </c>
      <c r="E28" s="110" t="s">
        <v>38</v>
      </c>
      <c r="F28" s="110" t="s">
        <v>39</v>
      </c>
      <c r="G28" s="663">
        <f>'[2]FFPREV Maio 2018'!$G$15</f>
        <v>4678062.79</v>
      </c>
      <c r="H28" s="70">
        <f t="shared" si="2"/>
        <v>4.5898052869479964E-3</v>
      </c>
      <c r="I28" s="181">
        <f>'[2]FFPREV Maio 2018'!$I$15</f>
        <v>-1.5599999999999999E-2</v>
      </c>
      <c r="J28" s="411"/>
      <c r="K28" s="403"/>
      <c r="L28" s="381" t="s">
        <v>339</v>
      </c>
      <c r="M28" s="664">
        <f>'[2]FFPREV Maio 2018'!$M$15</f>
        <v>249502279.08000001</v>
      </c>
      <c r="N28" s="70">
        <f t="shared" si="1"/>
        <v>1.8749579391617636E-2</v>
      </c>
      <c r="O28" s="783"/>
      <c r="P28" s="786"/>
      <c r="Q28" s="789"/>
      <c r="R28" s="792"/>
      <c r="S28" s="795"/>
      <c r="T28" s="64"/>
      <c r="U28" s="64"/>
      <c r="V28" s="63"/>
      <c r="W28" s="64"/>
      <c r="X28" s="64"/>
      <c r="Y28" s="90"/>
    </row>
    <row r="29" spans="1:25" s="1" customFormat="1" ht="23.25" thickBot="1" x14ac:dyDescent="0.3">
      <c r="A29" s="185"/>
      <c r="B29" s="337" t="s">
        <v>168</v>
      </c>
      <c r="C29" s="338"/>
      <c r="D29" s="339"/>
      <c r="E29" s="340"/>
      <c r="F29" s="340"/>
      <c r="G29" s="609">
        <v>0</v>
      </c>
      <c r="H29" s="43"/>
      <c r="I29" s="43"/>
      <c r="J29" s="43"/>
      <c r="K29" s="318"/>
      <c r="L29" s="321"/>
      <c r="M29" s="315"/>
      <c r="N29" s="187"/>
      <c r="O29" s="316" t="s">
        <v>41</v>
      </c>
      <c r="P29" s="659">
        <v>0</v>
      </c>
      <c r="Q29" s="173">
        <v>1</v>
      </c>
      <c r="R29" s="96">
        <v>0</v>
      </c>
      <c r="S29" s="656" t="s">
        <v>297</v>
      </c>
      <c r="T29" s="64"/>
      <c r="U29" s="64"/>
      <c r="V29" s="63"/>
      <c r="W29" s="64"/>
      <c r="X29" s="64"/>
      <c r="Y29" s="90"/>
    </row>
    <row r="30" spans="1:25" s="1" customFormat="1" ht="23.25" thickBot="1" x14ac:dyDescent="0.3">
      <c r="A30" s="185"/>
      <c r="B30" s="337" t="s">
        <v>165</v>
      </c>
      <c r="C30" s="338"/>
      <c r="D30" s="341"/>
      <c r="E30" s="342"/>
      <c r="F30" s="342"/>
      <c r="G30" s="609">
        <v>0</v>
      </c>
      <c r="H30" s="43"/>
      <c r="I30" s="116"/>
      <c r="J30" s="116"/>
      <c r="K30" s="198"/>
      <c r="L30" s="113"/>
      <c r="M30" s="319"/>
      <c r="N30" s="218"/>
      <c r="O30" s="316" t="s">
        <v>41</v>
      </c>
      <c r="P30" s="322">
        <v>0</v>
      </c>
      <c r="Q30" s="172">
        <v>0.05</v>
      </c>
      <c r="R30" s="173">
        <v>0</v>
      </c>
      <c r="S30" s="569" t="s">
        <v>298</v>
      </c>
      <c r="T30" s="64"/>
      <c r="U30" s="64"/>
      <c r="V30" s="63"/>
      <c r="W30" s="64"/>
      <c r="X30" s="64"/>
      <c r="Y30" s="90"/>
    </row>
    <row r="31" spans="1:25" s="53" customFormat="1" ht="18.75" thickBot="1" x14ac:dyDescent="0.25">
      <c r="A31" s="40"/>
      <c r="B31" s="334" t="s">
        <v>166</v>
      </c>
      <c r="C31" s="335"/>
      <c r="D31" s="336"/>
      <c r="E31" s="336"/>
      <c r="F31" s="336"/>
      <c r="G31" s="582">
        <f>SUM(G32:G38)</f>
        <v>196680528.64000002</v>
      </c>
      <c r="H31" s="43">
        <f t="shared" ref="H31:H38" si="3">G31/$G$93</f>
        <v>0.19296990457701804</v>
      </c>
      <c r="I31" s="91"/>
      <c r="J31" s="44"/>
      <c r="K31" s="44"/>
      <c r="L31" s="44"/>
      <c r="M31" s="130"/>
      <c r="N31" s="131"/>
      <c r="O31" s="42"/>
      <c r="P31" s="660"/>
      <c r="Q31" s="660"/>
      <c r="R31" s="660"/>
      <c r="S31" s="140"/>
      <c r="T31" s="52"/>
      <c r="U31" s="52"/>
      <c r="V31" s="52"/>
      <c r="W31" s="52"/>
      <c r="X31" s="52"/>
      <c r="Y31" s="52"/>
    </row>
    <row r="32" spans="1:25" s="53" customFormat="1" ht="23.25" customHeight="1" thickBot="1" x14ac:dyDescent="0.3">
      <c r="A32" s="40"/>
      <c r="B32" s="107" t="s">
        <v>42</v>
      </c>
      <c r="C32" s="108" t="s">
        <v>43</v>
      </c>
      <c r="D32" s="56" t="s">
        <v>61</v>
      </c>
      <c r="E32" s="109" t="s">
        <v>38</v>
      </c>
      <c r="F32" s="109" t="s">
        <v>39</v>
      </c>
      <c r="G32" s="687">
        <f>'[1]FFIN2 Maio 2018'!$G$22</f>
        <v>21653543.399999999</v>
      </c>
      <c r="H32" s="70">
        <f t="shared" si="3"/>
        <v>2.1245022232477959E-2</v>
      </c>
      <c r="I32" s="678">
        <f>'[1]FFIN2 Maio 2018'!$I$22</f>
        <v>-1.5664999999999998E-2</v>
      </c>
      <c r="J32" s="111"/>
      <c r="K32" s="112"/>
      <c r="L32" s="127" t="s">
        <v>53</v>
      </c>
      <c r="M32" s="688">
        <f>'[1]FFIN2 Maio 2018'!$M$22</f>
        <v>2288647358.1100001</v>
      </c>
      <c r="N32" s="114">
        <f t="shared" ref="N32:N38" si="4">G32/M32</f>
        <v>9.4612843360376078E-3</v>
      </c>
      <c r="O32" s="825" t="s">
        <v>333</v>
      </c>
      <c r="P32" s="811">
        <f>SUM(G32:G38)/G93</f>
        <v>0.19296990457701804</v>
      </c>
      <c r="Q32" s="790">
        <v>0.6</v>
      </c>
      <c r="R32" s="790">
        <v>0.35</v>
      </c>
      <c r="S32" s="821" t="s">
        <v>332</v>
      </c>
      <c r="T32" s="52"/>
      <c r="U32" s="52"/>
      <c r="V32" s="52"/>
      <c r="W32" s="52"/>
      <c r="X32" s="52"/>
      <c r="Y32" s="52"/>
    </row>
    <row r="33" spans="1:25" s="53" customFormat="1" ht="18.75" thickBot="1" x14ac:dyDescent="0.3">
      <c r="A33" s="40"/>
      <c r="B33" s="107" t="s">
        <v>214</v>
      </c>
      <c r="C33" s="108" t="s">
        <v>43</v>
      </c>
      <c r="D33" s="56" t="s">
        <v>61</v>
      </c>
      <c r="E33" s="110" t="s">
        <v>38</v>
      </c>
      <c r="F33" s="190" t="s">
        <v>39</v>
      </c>
      <c r="G33" s="669">
        <f>'[2]FFPREV Maio 2018'!$G$19</f>
        <v>19837788.559999999</v>
      </c>
      <c r="H33" s="70">
        <f t="shared" si="3"/>
        <v>1.9463523877593029E-2</v>
      </c>
      <c r="I33" s="678">
        <f>'[2]FFPREV Maio 2018'!$I$19</f>
        <v>-1.5664999999999998E-2</v>
      </c>
      <c r="J33" s="111"/>
      <c r="K33" s="377"/>
      <c r="L33" s="381" t="s">
        <v>53</v>
      </c>
      <c r="M33" s="689">
        <f>'[2]FFPREV Maio 2018'!$M$19</f>
        <v>2288647358.1100001</v>
      </c>
      <c r="N33" s="378">
        <f t="shared" si="4"/>
        <v>8.6679096671242288E-3</v>
      </c>
      <c r="O33" s="826"/>
      <c r="P33" s="812"/>
      <c r="Q33" s="791"/>
      <c r="R33" s="791"/>
      <c r="S33" s="822"/>
      <c r="T33" s="52"/>
      <c r="U33" s="52"/>
      <c r="V33" s="52"/>
      <c r="W33" s="52"/>
      <c r="X33" s="52"/>
      <c r="Y33" s="52"/>
    </row>
    <row r="34" spans="1:25" s="53" customFormat="1" ht="18" x14ac:dyDescent="0.25">
      <c r="A34" s="40"/>
      <c r="B34" s="54" t="s">
        <v>42</v>
      </c>
      <c r="C34" s="55" t="s">
        <v>43</v>
      </c>
      <c r="D34" s="56" t="s">
        <v>59</v>
      </c>
      <c r="E34" s="109" t="s">
        <v>38</v>
      </c>
      <c r="F34" s="115" t="s">
        <v>39</v>
      </c>
      <c r="G34" s="665">
        <f>'[1]FFIN2 Maio 2018'!$G$23</f>
        <v>51316086.509999998</v>
      </c>
      <c r="H34" s="141">
        <f t="shared" si="3"/>
        <v>5.0347944382567539E-2</v>
      </c>
      <c r="I34" s="71">
        <f>'[1]FFIN2 Maio 2018'!$I$23</f>
        <v>-3.1406999999999997E-2</v>
      </c>
      <c r="J34" s="111"/>
      <c r="K34" s="147"/>
      <c r="L34" s="118" t="s">
        <v>40</v>
      </c>
      <c r="M34" s="677">
        <f>'[1]FFIN2 Maio 2018'!$M$23</f>
        <v>995339470.07000005</v>
      </c>
      <c r="N34" s="119">
        <f t="shared" si="4"/>
        <v>5.1556366499151338E-2</v>
      </c>
      <c r="O34" s="826"/>
      <c r="P34" s="812"/>
      <c r="Q34" s="791"/>
      <c r="R34" s="791"/>
      <c r="S34" s="822"/>
      <c r="T34" s="52"/>
      <c r="U34" s="52"/>
      <c r="V34" s="52"/>
      <c r="W34" s="52"/>
      <c r="X34" s="52"/>
      <c r="Y34" s="52"/>
    </row>
    <row r="35" spans="1:25" s="53" customFormat="1" ht="18" x14ac:dyDescent="0.25">
      <c r="A35" s="40"/>
      <c r="B35" s="54" t="s">
        <v>199</v>
      </c>
      <c r="C35" s="197" t="s">
        <v>200</v>
      </c>
      <c r="D35" s="83" t="s">
        <v>201</v>
      </c>
      <c r="E35" s="110" t="s">
        <v>38</v>
      </c>
      <c r="F35" s="110" t="s">
        <v>38</v>
      </c>
      <c r="G35" s="672">
        <f>'[2]FFPREV Maio 2018'!$G$20</f>
        <v>21034079.59</v>
      </c>
      <c r="H35" s="141">
        <f t="shared" si="3"/>
        <v>2.0637245381707869E-2</v>
      </c>
      <c r="I35" s="71">
        <f>'[2]FFPREV Maio 2018'!$I$20</f>
        <v>-3.0698E-2</v>
      </c>
      <c r="J35" s="326"/>
      <c r="K35" s="383"/>
      <c r="L35" s="381" t="s">
        <v>40</v>
      </c>
      <c r="M35" s="690">
        <f>'[2]FFPREV Maio 2018'!$M$20</f>
        <v>2073916235.3800001</v>
      </c>
      <c r="N35" s="378">
        <f t="shared" si="4"/>
        <v>1.0142203060648667E-2</v>
      </c>
      <c r="O35" s="826"/>
      <c r="P35" s="812"/>
      <c r="Q35" s="791"/>
      <c r="R35" s="791"/>
      <c r="S35" s="822"/>
      <c r="T35" s="52"/>
      <c r="U35" s="52"/>
      <c r="V35" s="52"/>
      <c r="W35" s="52"/>
      <c r="X35" s="52"/>
      <c r="Y35" s="52"/>
    </row>
    <row r="36" spans="1:25" s="53" customFormat="1" ht="18" x14ac:dyDescent="0.25">
      <c r="A36" s="40"/>
      <c r="B36" s="54" t="s">
        <v>62</v>
      </c>
      <c r="C36" s="136" t="s">
        <v>65</v>
      </c>
      <c r="D36" s="325" t="s">
        <v>66</v>
      </c>
      <c r="E36" s="190" t="s">
        <v>38</v>
      </c>
      <c r="F36" s="190" t="s">
        <v>39</v>
      </c>
      <c r="G36" s="585">
        <f>'[1]FFIN2 Maio 2018'!$G$25</f>
        <v>27454801.18</v>
      </c>
      <c r="H36" s="141">
        <f t="shared" si="3"/>
        <v>2.6936832031720138E-2</v>
      </c>
      <c r="I36" s="363">
        <f>'[1]FFIN2 Maio 2018'!$I$25</f>
        <v>-1.72E-2</v>
      </c>
      <c r="J36" s="111"/>
      <c r="K36" s="440"/>
      <c r="L36" s="127" t="s">
        <v>53</v>
      </c>
      <c r="M36" s="430">
        <f>'[1]FFIN2 Maio 2018'!$M$25</f>
        <v>559136229.24000001</v>
      </c>
      <c r="N36" s="128">
        <f t="shared" si="4"/>
        <v>4.9102168209199479E-2</v>
      </c>
      <c r="O36" s="826"/>
      <c r="P36" s="812"/>
      <c r="Q36" s="791"/>
      <c r="R36" s="791"/>
      <c r="S36" s="822"/>
      <c r="T36" s="52"/>
      <c r="U36" s="52"/>
      <c r="V36" s="52"/>
      <c r="W36" s="52"/>
      <c r="X36" s="52"/>
      <c r="Y36" s="52"/>
    </row>
    <row r="37" spans="1:25" s="53" customFormat="1" ht="18" x14ac:dyDescent="0.25">
      <c r="A37" s="40"/>
      <c r="B37" s="54" t="s">
        <v>198</v>
      </c>
      <c r="C37" s="136" t="s">
        <v>65</v>
      </c>
      <c r="D37" s="137" t="s">
        <v>66</v>
      </c>
      <c r="E37" s="109" t="s">
        <v>38</v>
      </c>
      <c r="F37" s="109" t="s">
        <v>39</v>
      </c>
      <c r="G37" s="357">
        <f>'[2]FFPREV Maio 2018'!$G$21</f>
        <v>8658402.9100000001</v>
      </c>
      <c r="H37" s="141">
        <f t="shared" si="3"/>
        <v>8.495051314359103E-3</v>
      </c>
      <c r="I37" s="376">
        <f>'[2]FFPREV Maio 2018'!$I$21</f>
        <v>-1.72E-2</v>
      </c>
      <c r="J37" s="111"/>
      <c r="K37" s="406"/>
      <c r="L37" s="407" t="s">
        <v>53</v>
      </c>
      <c r="M37" s="431">
        <f>'[2]FFPREV Maio 2018'!$M$21</f>
        <v>559136229.24000001</v>
      </c>
      <c r="N37" s="378">
        <f t="shared" si="4"/>
        <v>1.5485319063958424E-2</v>
      </c>
      <c r="O37" s="826"/>
      <c r="P37" s="812"/>
      <c r="Q37" s="791"/>
      <c r="R37" s="791"/>
      <c r="S37" s="822"/>
      <c r="T37" s="52"/>
      <c r="U37" s="52"/>
      <c r="V37" s="52"/>
      <c r="W37" s="52"/>
      <c r="X37" s="52"/>
      <c r="Y37" s="52"/>
    </row>
    <row r="38" spans="1:25" s="53" customFormat="1" ht="18.75" thickBot="1" x14ac:dyDescent="0.3">
      <c r="A38" s="40"/>
      <c r="B38" s="107" t="s">
        <v>62</v>
      </c>
      <c r="C38" s="136" t="s">
        <v>63</v>
      </c>
      <c r="D38" s="137" t="s">
        <v>64</v>
      </c>
      <c r="E38" s="115" t="s">
        <v>38</v>
      </c>
      <c r="F38" s="115" t="s">
        <v>39</v>
      </c>
      <c r="G38" s="364">
        <f>'[1]FFIN2 Maio 2018'!$G$24</f>
        <v>46725826.490000002</v>
      </c>
      <c r="H38" s="141">
        <f t="shared" si="3"/>
        <v>4.5844285356592386E-2</v>
      </c>
      <c r="I38" s="415">
        <f>'[1]FFIN2 Maio 2018'!$I$24</f>
        <v>-3.32E-2</v>
      </c>
      <c r="J38" s="200"/>
      <c r="K38" s="439"/>
      <c r="L38" s="127" t="s">
        <v>40</v>
      </c>
      <c r="M38" s="428">
        <f>'[1]FFIN2 Maio 2018'!$M$24</f>
        <v>1307948877.1099999</v>
      </c>
      <c r="N38" s="119">
        <f t="shared" si="4"/>
        <v>3.572450522167489E-2</v>
      </c>
      <c r="O38" s="827"/>
      <c r="P38" s="824"/>
      <c r="Q38" s="792"/>
      <c r="R38" s="792"/>
      <c r="S38" s="823"/>
      <c r="T38" s="52"/>
      <c r="U38" s="52"/>
      <c r="V38" s="52"/>
      <c r="W38" s="52"/>
      <c r="X38" s="52"/>
      <c r="Y38" s="52"/>
    </row>
    <row r="39" spans="1:25" s="1" customFormat="1" ht="23.25" thickBot="1" x14ac:dyDescent="0.3">
      <c r="A39" s="8"/>
      <c r="B39" s="343" t="s">
        <v>172</v>
      </c>
      <c r="C39" s="338"/>
      <c r="D39" s="344"/>
      <c r="E39" s="340"/>
      <c r="F39" s="340"/>
      <c r="G39" s="609">
        <v>0</v>
      </c>
      <c r="H39" s="328"/>
      <c r="I39" s="43"/>
      <c r="J39" s="43"/>
      <c r="K39" s="329"/>
      <c r="L39" s="654"/>
      <c r="M39" s="330"/>
      <c r="N39" s="43"/>
      <c r="O39" s="316" t="s">
        <v>167</v>
      </c>
      <c r="P39" s="322">
        <v>0</v>
      </c>
      <c r="Q39" s="173">
        <v>0.6</v>
      </c>
      <c r="R39" s="657">
        <v>0</v>
      </c>
      <c r="S39" s="570" t="s">
        <v>299</v>
      </c>
      <c r="T39" s="139"/>
      <c r="U39" s="64"/>
      <c r="V39" s="63"/>
      <c r="W39" s="63"/>
      <c r="X39" s="63"/>
      <c r="Y39" s="65"/>
    </row>
    <row r="40" spans="1:25" s="53" customFormat="1" ht="18.75" thickBot="1" x14ac:dyDescent="0.25">
      <c r="A40" s="40"/>
      <c r="B40" s="334" t="s">
        <v>170</v>
      </c>
      <c r="C40" s="335"/>
      <c r="D40" s="336"/>
      <c r="E40" s="336"/>
      <c r="F40" s="336"/>
      <c r="G40" s="587">
        <f>SUM(G41:G49)</f>
        <v>74011992.239999995</v>
      </c>
      <c r="H40" s="215">
        <f t="shared" ref="H40:H49" si="5">G40/$G$93</f>
        <v>7.2615663476527648E-2</v>
      </c>
      <c r="I40" s="327"/>
      <c r="J40" s="44"/>
      <c r="K40" s="162"/>
      <c r="L40" s="44"/>
      <c r="M40" s="130"/>
      <c r="N40" s="131"/>
      <c r="O40" s="42"/>
      <c r="P40" s="660"/>
      <c r="Q40" s="660"/>
      <c r="R40" s="660"/>
      <c r="S40" s="140"/>
      <c r="T40" s="52"/>
      <c r="U40" s="52"/>
      <c r="V40" s="52"/>
      <c r="W40" s="52"/>
      <c r="X40" s="52"/>
      <c r="Y40" s="52"/>
    </row>
    <row r="41" spans="1:25" s="1" customFormat="1" ht="18" x14ac:dyDescent="0.25">
      <c r="A41" s="8">
        <v>19</v>
      </c>
      <c r="B41" s="54" t="s">
        <v>72</v>
      </c>
      <c r="C41" s="136" t="s">
        <v>68</v>
      </c>
      <c r="D41" s="68" t="s">
        <v>73</v>
      </c>
      <c r="E41" s="124" t="s">
        <v>70</v>
      </c>
      <c r="F41" s="124" t="s">
        <v>74</v>
      </c>
      <c r="G41" s="681">
        <f>'[1]FFIN2 Maio 2018'!$G$28</f>
        <v>641941.01</v>
      </c>
      <c r="H41" s="141">
        <f t="shared" si="5"/>
        <v>6.2982999029107434E-4</v>
      </c>
      <c r="I41" s="670">
        <f>'[1]FFIN2 Maio 2018'!$I$28</f>
        <v>4.3E-3</v>
      </c>
      <c r="J41" s="411"/>
      <c r="K41" s="126"/>
      <c r="L41" s="127" t="s">
        <v>71</v>
      </c>
      <c r="M41" s="691">
        <f>'[1]FFIN2 Maio 2018'!$M$28</f>
        <v>8259624678.1499996</v>
      </c>
      <c r="N41" s="119">
        <f t="shared" ref="N41:N49" si="6">G41/M41</f>
        <v>7.7720360792929232E-5</v>
      </c>
      <c r="O41" s="781" t="s">
        <v>167</v>
      </c>
      <c r="P41" s="796">
        <f>SUM(G41:G49)/G93</f>
        <v>7.2615663476527648E-2</v>
      </c>
      <c r="Q41" s="790">
        <v>0.4</v>
      </c>
      <c r="R41" s="790">
        <v>0.3</v>
      </c>
      <c r="S41" s="793" t="s">
        <v>343</v>
      </c>
      <c r="T41" s="64"/>
      <c r="U41" s="64"/>
      <c r="V41" s="63"/>
      <c r="W41" s="64"/>
      <c r="X41" s="64"/>
      <c r="Y41" s="90"/>
    </row>
    <row r="42" spans="1:25" s="1" customFormat="1" ht="18" x14ac:dyDescent="0.25">
      <c r="A42" s="8">
        <v>20</v>
      </c>
      <c r="B42" s="54" t="s">
        <v>72</v>
      </c>
      <c r="C42" s="136" t="s">
        <v>68</v>
      </c>
      <c r="D42" s="68" t="s">
        <v>69</v>
      </c>
      <c r="E42" s="124" t="s">
        <v>70</v>
      </c>
      <c r="F42" s="124" t="s">
        <v>70</v>
      </c>
      <c r="G42" s="681">
        <f>'[1]FFIN2 Maio 2018'!$G$29</f>
        <v>216369</v>
      </c>
      <c r="H42" s="141">
        <f t="shared" si="5"/>
        <v>2.1228692831026558E-4</v>
      </c>
      <c r="I42" s="670">
        <f>'[1]FFIN2 Maio 2018'!$I$29</f>
        <v>5.0000000000000001E-3</v>
      </c>
      <c r="J42" s="146"/>
      <c r="K42" s="147"/>
      <c r="L42" s="127" t="s">
        <v>71</v>
      </c>
      <c r="M42" s="691">
        <f>'[1]FFIN2 Maio 2018'!$M$29</f>
        <v>6823037381.7600002</v>
      </c>
      <c r="N42" s="119">
        <f t="shared" si="6"/>
        <v>3.1711536650585917E-5</v>
      </c>
      <c r="O42" s="782"/>
      <c r="P42" s="797"/>
      <c r="Q42" s="791"/>
      <c r="R42" s="791"/>
      <c r="S42" s="794"/>
      <c r="T42" s="64"/>
      <c r="U42" s="64"/>
      <c r="V42" s="63"/>
      <c r="W42" s="64"/>
      <c r="X42" s="64"/>
      <c r="Y42" s="90"/>
    </row>
    <row r="43" spans="1:25" s="1" customFormat="1" ht="18" x14ac:dyDescent="0.25">
      <c r="A43" s="8"/>
      <c r="B43" s="54" t="s">
        <v>215</v>
      </c>
      <c r="C43" s="136" t="s">
        <v>68</v>
      </c>
      <c r="D43" s="68" t="s">
        <v>69</v>
      </c>
      <c r="E43" s="124" t="s">
        <v>70</v>
      </c>
      <c r="F43" s="124" t="s">
        <v>70</v>
      </c>
      <c r="G43" s="681">
        <f>'[2]FFPREV Maio 2018'!$G$24</f>
        <v>40617.760000000002</v>
      </c>
      <c r="H43" s="141">
        <f t="shared" si="5"/>
        <v>3.9851455177236907E-5</v>
      </c>
      <c r="I43" s="666">
        <f>'[2]FFPREV Maio 2018'!$I$24</f>
        <v>5.0000000000000001E-3</v>
      </c>
      <c r="J43" s="111"/>
      <c r="K43" s="403"/>
      <c r="L43" s="381" t="s">
        <v>71</v>
      </c>
      <c r="M43" s="691">
        <f>'[2]FFPREV Maio 2018'!$M$24</f>
        <v>6823037381.7600002</v>
      </c>
      <c r="N43" s="382">
        <f t="shared" si="6"/>
        <v>5.9530320189338702E-6</v>
      </c>
      <c r="O43" s="782"/>
      <c r="P43" s="797"/>
      <c r="Q43" s="791"/>
      <c r="R43" s="791"/>
      <c r="S43" s="794"/>
      <c r="T43" s="64"/>
      <c r="U43" s="64"/>
      <c r="V43" s="63"/>
      <c r="W43" s="64"/>
      <c r="X43" s="64"/>
      <c r="Y43" s="90"/>
    </row>
    <row r="44" spans="1:25" s="1" customFormat="1" ht="18.75" thickBot="1" x14ac:dyDescent="0.3">
      <c r="A44" s="8">
        <v>21</v>
      </c>
      <c r="B44" s="148" t="s">
        <v>75</v>
      </c>
      <c r="C44" s="149"/>
      <c r="D44" s="150" t="s">
        <v>76</v>
      </c>
      <c r="E44" s="124" t="s">
        <v>38</v>
      </c>
      <c r="F44" s="115" t="s">
        <v>39</v>
      </c>
      <c r="G44" s="384">
        <f>'[1]FFIN2 Maio 2018'!$G$30</f>
        <v>16230171.890000001</v>
      </c>
      <c r="H44" s="141">
        <f t="shared" si="5"/>
        <v>1.5923969406318454E-2</v>
      </c>
      <c r="I44" s="358">
        <f>'[1]FFIN2 Maio 2018'!$I$30</f>
        <v>-2.5000000000000001E-3</v>
      </c>
      <c r="J44" s="151"/>
      <c r="K44" s="152"/>
      <c r="L44" s="113" t="s">
        <v>71</v>
      </c>
      <c r="M44" s="434">
        <f>'[1]FFIN2 Maio 2018'!$M$30</f>
        <v>220096190.69</v>
      </c>
      <c r="N44" s="119">
        <f t="shared" si="6"/>
        <v>7.3741266666717528E-2</v>
      </c>
      <c r="O44" s="782"/>
      <c r="P44" s="797"/>
      <c r="Q44" s="791"/>
      <c r="R44" s="791"/>
      <c r="S44" s="794"/>
      <c r="T44" s="64"/>
      <c r="U44" s="64"/>
      <c r="V44" s="63"/>
      <c r="W44" s="64"/>
      <c r="X44" s="64"/>
      <c r="Y44" s="90"/>
    </row>
    <row r="45" spans="1:25" s="1" customFormat="1" ht="18.75" thickBot="1" x14ac:dyDescent="0.3">
      <c r="A45" s="8">
        <v>22</v>
      </c>
      <c r="B45" s="54" t="s">
        <v>55</v>
      </c>
      <c r="C45" s="98" t="s">
        <v>36</v>
      </c>
      <c r="D45" s="68" t="s">
        <v>79</v>
      </c>
      <c r="E45" s="124" t="s">
        <v>38</v>
      </c>
      <c r="F45" s="124" t="s">
        <v>39</v>
      </c>
      <c r="G45" s="681">
        <f>'[1]FFIN2 Maio 2018'!$G$32</f>
        <v>26783763.460000001</v>
      </c>
      <c r="H45" s="141">
        <f t="shared" si="5"/>
        <v>2.6278454277239949E-2</v>
      </c>
      <c r="I45" s="71">
        <f>'[1]FFIN2 Maio 2018'!$I$32</f>
        <v>-3.5000000000000001E-3</v>
      </c>
      <c r="J45" s="125"/>
      <c r="K45" s="126"/>
      <c r="L45" s="127" t="s">
        <v>80</v>
      </c>
      <c r="M45" s="81">
        <f>'[1]FFIN2 Maio 2018'!$M$32</f>
        <v>1490374454.0699999</v>
      </c>
      <c r="N45" s="119">
        <f t="shared" si="6"/>
        <v>1.7971163815145491E-2</v>
      </c>
      <c r="O45" s="782"/>
      <c r="P45" s="797"/>
      <c r="Q45" s="791"/>
      <c r="R45" s="791"/>
      <c r="S45" s="794"/>
      <c r="T45" s="64"/>
      <c r="U45" s="64"/>
      <c r="V45" s="63"/>
      <c r="W45" s="64"/>
      <c r="X45" s="64"/>
      <c r="Y45" s="90"/>
    </row>
    <row r="46" spans="1:25" s="1" customFormat="1" ht="18.75" thickBot="1" x14ac:dyDescent="0.3">
      <c r="A46" s="8"/>
      <c r="B46" s="54" t="s">
        <v>202</v>
      </c>
      <c r="C46" s="98" t="s">
        <v>36</v>
      </c>
      <c r="D46" s="68" t="s">
        <v>79</v>
      </c>
      <c r="E46" s="124" t="s">
        <v>38</v>
      </c>
      <c r="F46" s="124" t="s">
        <v>39</v>
      </c>
      <c r="G46" s="665">
        <f>'[2]FFPREV Maio 2018'!$G$25</f>
        <v>8569857.7699999996</v>
      </c>
      <c r="H46" s="141">
        <f t="shared" si="5"/>
        <v>8.4081766891244223E-3</v>
      </c>
      <c r="I46" s="71">
        <f>'[1]FFIN2 Maio 2018'!$I$32</f>
        <v>-3.5000000000000001E-3</v>
      </c>
      <c r="J46" s="125"/>
      <c r="K46" s="380"/>
      <c r="L46" s="381" t="s">
        <v>80</v>
      </c>
      <c r="M46" s="692">
        <f>'[2]FFPREV Maio 2018'!$M$25</f>
        <v>1490374454.0699999</v>
      </c>
      <c r="N46" s="382">
        <f t="shared" si="6"/>
        <v>5.7501373205887558E-3</v>
      </c>
      <c r="O46" s="782"/>
      <c r="P46" s="797"/>
      <c r="Q46" s="791"/>
      <c r="R46" s="791"/>
      <c r="S46" s="794"/>
      <c r="T46" s="64"/>
      <c r="U46" s="64"/>
      <c r="V46" s="63"/>
      <c r="W46" s="64"/>
      <c r="X46" s="64"/>
      <c r="Y46" s="90"/>
    </row>
    <row r="47" spans="1:25" s="1" customFormat="1" ht="18.75" thickBot="1" x14ac:dyDescent="0.3">
      <c r="A47" s="8"/>
      <c r="B47" s="54" t="s">
        <v>55</v>
      </c>
      <c r="C47" s="98" t="s">
        <v>77</v>
      </c>
      <c r="D47" s="68" t="s">
        <v>78</v>
      </c>
      <c r="E47" s="124" t="s">
        <v>38</v>
      </c>
      <c r="F47" s="124" t="s">
        <v>38</v>
      </c>
      <c r="G47" s="681">
        <f>'[1]FFIN2 Maio 2018'!$G$31</f>
        <v>6439626.4400000004</v>
      </c>
      <c r="H47" s="141">
        <f t="shared" si="5"/>
        <v>6.3181348363821567E-3</v>
      </c>
      <c r="I47" s="71">
        <f>'[1]FFIN2 Maio 2018'!$I$31</f>
        <v>5.0000000000000001E-3</v>
      </c>
      <c r="J47" s="125"/>
      <c r="K47" s="126"/>
      <c r="L47" s="113" t="s">
        <v>71</v>
      </c>
      <c r="M47" s="81">
        <f>'[1]FFIN2 Maio 2018'!$M$31</f>
        <v>11178643343.379999</v>
      </c>
      <c r="N47" s="119">
        <f t="shared" si="6"/>
        <v>5.7606511292924935E-4</v>
      </c>
      <c r="O47" s="782"/>
      <c r="P47" s="797"/>
      <c r="Q47" s="791"/>
      <c r="R47" s="791"/>
      <c r="S47" s="794"/>
      <c r="T47" s="64"/>
      <c r="U47" s="64"/>
      <c r="V47" s="63"/>
      <c r="W47" s="64"/>
      <c r="X47" s="64"/>
      <c r="Y47" s="90"/>
    </row>
    <row r="48" spans="1:25" s="1" customFormat="1" ht="18" x14ac:dyDescent="0.25">
      <c r="A48" s="8">
        <v>23</v>
      </c>
      <c r="B48" s="54" t="s">
        <v>203</v>
      </c>
      <c r="C48" s="98" t="s">
        <v>204</v>
      </c>
      <c r="D48" s="68" t="s">
        <v>78</v>
      </c>
      <c r="E48" s="124" t="s">
        <v>38</v>
      </c>
      <c r="F48" s="124" t="s">
        <v>38</v>
      </c>
      <c r="G48" s="681">
        <f>'[2]FFPREV Maio 2018'!$G$26</f>
        <v>1082166.28</v>
      </c>
      <c r="H48" s="141">
        <f t="shared" si="5"/>
        <v>1.0617498602024634E-3</v>
      </c>
      <c r="I48" s="71">
        <f>'[2]FFPREV Maio 2018'!$I$26</f>
        <v>5.0000000000000001E-3</v>
      </c>
      <c r="J48" s="125"/>
      <c r="K48" s="380"/>
      <c r="L48" s="387" t="s">
        <v>71</v>
      </c>
      <c r="M48" s="81">
        <f>'[2]FFPREV Maio 2018'!$M$26</f>
        <v>11178643343.379999</v>
      </c>
      <c r="N48" s="382">
        <f t="shared" si="6"/>
        <v>9.6806584373304989E-5</v>
      </c>
      <c r="O48" s="782"/>
      <c r="P48" s="797"/>
      <c r="Q48" s="791"/>
      <c r="R48" s="791"/>
      <c r="S48" s="794"/>
      <c r="T48" s="64"/>
      <c r="U48" s="64"/>
      <c r="V48" s="63"/>
      <c r="W48" s="64"/>
      <c r="X48" s="64"/>
      <c r="Y48" s="90"/>
    </row>
    <row r="49" spans="1:25" s="1" customFormat="1" ht="18.75" thickBot="1" x14ac:dyDescent="0.3">
      <c r="A49" s="8">
        <v>24</v>
      </c>
      <c r="B49" s="148" t="s">
        <v>62</v>
      </c>
      <c r="C49" s="154"/>
      <c r="D49" s="332" t="s">
        <v>81</v>
      </c>
      <c r="E49" s="155" t="s">
        <v>38</v>
      </c>
      <c r="F49" s="155" t="s">
        <v>38</v>
      </c>
      <c r="G49" s="385">
        <f>'[1]FFIN2 Maio 2018'!$G$33</f>
        <v>14007478.630000001</v>
      </c>
      <c r="H49" s="141">
        <f t="shared" si="5"/>
        <v>1.3743210033481631E-2</v>
      </c>
      <c r="I49" s="433">
        <f>'[1]FFIN2 Maio 2018'!$I$33</f>
        <v>5.0000000000000001E-3</v>
      </c>
      <c r="J49" s="157"/>
      <c r="K49" s="158"/>
      <c r="L49" s="159" t="s">
        <v>71</v>
      </c>
      <c r="M49" s="437">
        <f>'[1]FFIN2 Maio 2018'!$M$33</f>
        <v>8865667473.8700008</v>
      </c>
      <c r="N49" s="161">
        <f t="shared" si="6"/>
        <v>1.5799688710731127E-3</v>
      </c>
      <c r="O49" s="783"/>
      <c r="P49" s="798"/>
      <c r="Q49" s="792"/>
      <c r="R49" s="792"/>
      <c r="S49" s="795"/>
      <c r="T49" s="64"/>
      <c r="U49" s="64"/>
      <c r="V49" s="63"/>
      <c r="W49" s="64"/>
      <c r="X49" s="64"/>
      <c r="Y49" s="90"/>
    </row>
    <row r="50" spans="1:25" s="1" customFormat="1" ht="23.25" thickBot="1" x14ac:dyDescent="0.3">
      <c r="A50" s="8"/>
      <c r="B50" s="343" t="s">
        <v>171</v>
      </c>
      <c r="C50" s="338"/>
      <c r="D50" s="341"/>
      <c r="E50" s="345"/>
      <c r="F50" s="345"/>
      <c r="G50" s="609">
        <v>0</v>
      </c>
      <c r="H50" s="328"/>
      <c r="I50" s="43"/>
      <c r="J50" s="215"/>
      <c r="K50" s="158"/>
      <c r="L50" s="331"/>
      <c r="M50" s="160"/>
      <c r="N50" s="187"/>
      <c r="O50" s="323" t="s">
        <v>60</v>
      </c>
      <c r="P50" s="322">
        <v>0</v>
      </c>
      <c r="Q50" s="172">
        <v>0.4</v>
      </c>
      <c r="R50" s="173">
        <v>0</v>
      </c>
      <c r="S50" s="569" t="s">
        <v>301</v>
      </c>
      <c r="T50" s="64"/>
      <c r="U50" s="64"/>
      <c r="V50" s="63"/>
      <c r="W50" s="64"/>
      <c r="X50" s="64"/>
      <c r="Y50" s="90"/>
    </row>
    <row r="51" spans="1:25" s="1" customFormat="1" ht="18.75" thickBot="1" x14ac:dyDescent="0.3">
      <c r="A51" s="8"/>
      <c r="B51" s="343" t="s">
        <v>173</v>
      </c>
      <c r="C51" s="338"/>
      <c r="D51" s="339"/>
      <c r="E51" s="345"/>
      <c r="F51" s="345"/>
      <c r="G51" s="609">
        <v>0</v>
      </c>
      <c r="H51" s="215"/>
      <c r="I51" s="43"/>
      <c r="J51" s="215"/>
      <c r="K51" s="158"/>
      <c r="L51" s="331"/>
      <c r="M51" s="160"/>
      <c r="N51" s="156"/>
      <c r="O51" s="410" t="s">
        <v>60</v>
      </c>
      <c r="P51" s="322">
        <v>0</v>
      </c>
      <c r="Q51" s="173">
        <v>0.2</v>
      </c>
      <c r="R51" s="96">
        <v>0</v>
      </c>
      <c r="S51" s="174" t="s">
        <v>174</v>
      </c>
      <c r="T51" s="64"/>
      <c r="U51" s="64"/>
      <c r="V51" s="63"/>
      <c r="W51" s="64"/>
      <c r="X51" s="64"/>
      <c r="Y51" s="90"/>
    </row>
    <row r="52" spans="1:25" s="1" customFormat="1" ht="23.25" thickBot="1" x14ac:dyDescent="0.3">
      <c r="A52" s="8"/>
      <c r="B52" s="343" t="s">
        <v>175</v>
      </c>
      <c r="C52" s="338"/>
      <c r="D52" s="339"/>
      <c r="E52" s="345"/>
      <c r="F52" s="345"/>
      <c r="G52" s="611">
        <v>0</v>
      </c>
      <c r="H52" s="215"/>
      <c r="I52" s="43"/>
      <c r="J52" s="215"/>
      <c r="K52" s="158"/>
      <c r="L52" s="331"/>
      <c r="M52" s="160"/>
      <c r="N52" s="156"/>
      <c r="O52" s="311" t="s">
        <v>60</v>
      </c>
      <c r="P52" s="322">
        <v>0</v>
      </c>
      <c r="Q52" s="172">
        <v>0.15</v>
      </c>
      <c r="R52" s="173">
        <v>0</v>
      </c>
      <c r="S52" s="569" t="s">
        <v>302</v>
      </c>
      <c r="T52" s="64"/>
      <c r="U52" s="64"/>
      <c r="V52" s="63"/>
      <c r="W52" s="64"/>
      <c r="X52" s="64"/>
      <c r="Y52" s="90"/>
    </row>
    <row r="53" spans="1:25" s="1" customFormat="1" ht="23.25" thickBot="1" x14ac:dyDescent="0.3">
      <c r="A53" s="8"/>
      <c r="B53" s="343" t="s">
        <v>176</v>
      </c>
      <c r="C53" s="338"/>
      <c r="D53" s="339"/>
      <c r="E53" s="345"/>
      <c r="F53" s="345"/>
      <c r="G53" s="611">
        <v>0</v>
      </c>
      <c r="H53" s="215"/>
      <c r="I53" s="43"/>
      <c r="J53" s="215"/>
      <c r="K53" s="158"/>
      <c r="L53" s="331"/>
      <c r="M53" s="160"/>
      <c r="N53" s="156"/>
      <c r="O53" s="311" t="s">
        <v>60</v>
      </c>
      <c r="P53" s="571">
        <v>0</v>
      </c>
      <c r="Q53" s="95">
        <v>0.15</v>
      </c>
      <c r="R53" s="173">
        <v>0</v>
      </c>
      <c r="S53" s="569" t="s">
        <v>303</v>
      </c>
      <c r="T53" s="64"/>
      <c r="U53" s="64"/>
      <c r="V53" s="63"/>
      <c r="W53" s="64"/>
      <c r="X53" s="64"/>
      <c r="Y53" s="90"/>
    </row>
    <row r="54" spans="1:25" s="53" customFormat="1" ht="18.75" thickBot="1" x14ac:dyDescent="0.25">
      <c r="A54" s="40"/>
      <c r="B54" s="334" t="s">
        <v>177</v>
      </c>
      <c r="C54" s="335"/>
      <c r="D54" s="336"/>
      <c r="E54" s="336"/>
      <c r="F54" s="336"/>
      <c r="G54" s="582">
        <f>SUM(G55:G57)</f>
        <v>7178505.25</v>
      </c>
      <c r="H54" s="43">
        <f>G54/$G$93</f>
        <v>7.0430737738844985E-3</v>
      </c>
      <c r="I54" s="91"/>
      <c r="J54" s="44"/>
      <c r="K54" s="44"/>
      <c r="L54" s="162"/>
      <c r="M54" s="163"/>
      <c r="N54" s="164"/>
      <c r="O54" s="165"/>
      <c r="P54" s="166"/>
      <c r="Q54" s="660"/>
      <c r="R54" s="661"/>
      <c r="S54" s="133"/>
      <c r="T54" s="52"/>
      <c r="U54" s="52"/>
      <c r="V54" s="52"/>
      <c r="W54" s="52"/>
      <c r="X54" s="52"/>
      <c r="Y54" s="52"/>
    </row>
    <row r="55" spans="1:25" s="1" customFormat="1" ht="18.75" thickBot="1" x14ac:dyDescent="0.3">
      <c r="A55" s="8">
        <v>25</v>
      </c>
      <c r="B55" s="66" t="s">
        <v>82</v>
      </c>
      <c r="C55" s="108"/>
      <c r="D55" s="134" t="s">
        <v>83</v>
      </c>
      <c r="E55" s="438" t="s">
        <v>84</v>
      </c>
      <c r="F55" s="438" t="s">
        <v>85</v>
      </c>
      <c r="G55" s="694">
        <f>'[1]FFIN2 Maio 2018'!$G$39</f>
        <v>7096447.3099999996</v>
      </c>
      <c r="H55" s="191">
        <f>G55/$G$93</f>
        <v>6.9625639595115143E-3</v>
      </c>
      <c r="I55" s="151">
        <f>'[1]FFIN2 Maio 2018'!$I$39</f>
        <v>6.1000000000000004E-3</v>
      </c>
      <c r="J55" s="200"/>
      <c r="K55" s="439"/>
      <c r="L55" s="113" t="s">
        <v>71</v>
      </c>
      <c r="M55" s="75">
        <f>'[1]FFIN2 Maio 2018'!$M$39</f>
        <v>562011411.71000004</v>
      </c>
      <c r="N55" s="441">
        <f>G55/M55</f>
        <v>1.2626874049421958E-2</v>
      </c>
      <c r="O55" s="799" t="s">
        <v>60</v>
      </c>
      <c r="P55" s="796">
        <f>SUM(G55:G57)/G93</f>
        <v>7.0430737738844985E-3</v>
      </c>
      <c r="Q55" s="790">
        <v>0.05</v>
      </c>
      <c r="R55" s="778">
        <v>0.02</v>
      </c>
      <c r="S55" s="793" t="s">
        <v>304</v>
      </c>
      <c r="T55" s="64"/>
      <c r="U55" s="64"/>
      <c r="V55" s="64"/>
      <c r="W55" s="64"/>
      <c r="X55" s="63"/>
      <c r="Y55" s="65"/>
    </row>
    <row r="56" spans="1:25" s="1" customFormat="1" ht="15.75" customHeight="1" x14ac:dyDescent="0.25">
      <c r="A56" s="8">
        <v>26</v>
      </c>
      <c r="B56" s="54" t="s">
        <v>86</v>
      </c>
      <c r="C56" s="98" t="s">
        <v>87</v>
      </c>
      <c r="D56" s="56" t="s">
        <v>88</v>
      </c>
      <c r="E56" s="109" t="s">
        <v>89</v>
      </c>
      <c r="F56" s="109" t="s">
        <v>89</v>
      </c>
      <c r="G56" s="687">
        <f>'[1]FFIN2 Maio 2018'!$G$40</f>
        <v>38451.86</v>
      </c>
      <c r="H56" s="191">
        <f>G56/$G$93</f>
        <v>3.7726417588547194E-5</v>
      </c>
      <c r="I56" s="695">
        <f>'[1]FFIN2 Maio 2018'!$I$40</f>
        <v>1.1999999999999999E-3</v>
      </c>
      <c r="J56" s="111"/>
      <c r="K56" s="440"/>
      <c r="L56" s="118" t="s">
        <v>71</v>
      </c>
      <c r="M56" s="677">
        <f>'[1]FFIN2 Maio 2018'!$M$40</f>
        <v>897211.6</v>
      </c>
      <c r="N56" s="119">
        <f>G56/M56</f>
        <v>4.2857069614347383E-2</v>
      </c>
      <c r="O56" s="800"/>
      <c r="P56" s="797"/>
      <c r="Q56" s="791"/>
      <c r="R56" s="779"/>
      <c r="S56" s="794"/>
      <c r="T56" s="64"/>
      <c r="U56" s="64"/>
      <c r="V56" s="63"/>
      <c r="W56" s="64"/>
      <c r="X56" s="63"/>
      <c r="Y56" s="65"/>
    </row>
    <row r="57" spans="1:25" s="1" customFormat="1" ht="18.75" thickBot="1" x14ac:dyDescent="0.3">
      <c r="A57" s="8">
        <v>27</v>
      </c>
      <c r="B57" s="167" t="s">
        <v>90</v>
      </c>
      <c r="C57" s="108"/>
      <c r="D57" s="87" t="s">
        <v>91</v>
      </c>
      <c r="E57" s="168" t="s">
        <v>89</v>
      </c>
      <c r="F57" s="168" t="s">
        <v>89</v>
      </c>
      <c r="G57" s="696">
        <f>'[1]FFIN2 Maio 2018'!$G$41</f>
        <v>43606.080000000002</v>
      </c>
      <c r="H57" s="191">
        <f>G57/$G$93</f>
        <v>4.2783396784436335E-5</v>
      </c>
      <c r="I57" s="697">
        <f>'[1]FFIN2 Maio 2018'!$I$41</f>
        <v>-7.8200000000000006E-2</v>
      </c>
      <c r="J57" s="138"/>
      <c r="K57" s="175"/>
      <c r="L57" s="159" t="s">
        <v>71</v>
      </c>
      <c r="M57" s="170">
        <f>'[1]FFIN2 Maio 2018'!$M$41</f>
        <v>950602.02</v>
      </c>
      <c r="N57" s="161">
        <f>G57/M57</f>
        <v>4.5872067471516627E-2</v>
      </c>
      <c r="O57" s="801"/>
      <c r="P57" s="798"/>
      <c r="Q57" s="792"/>
      <c r="R57" s="780"/>
      <c r="S57" s="795"/>
      <c r="T57" s="64"/>
      <c r="U57" s="64"/>
      <c r="V57" s="63"/>
      <c r="W57" s="64"/>
      <c r="X57" s="63"/>
      <c r="Y57" s="65"/>
    </row>
    <row r="58" spans="1:25" s="1" customFormat="1" ht="23.25" thickBot="1" x14ac:dyDescent="0.3">
      <c r="A58" s="8"/>
      <c r="B58" s="346" t="s">
        <v>178</v>
      </c>
      <c r="C58" s="338"/>
      <c r="D58" s="347"/>
      <c r="E58" s="345"/>
      <c r="F58" s="345"/>
      <c r="G58" s="625">
        <v>0</v>
      </c>
      <c r="H58" s="215"/>
      <c r="I58" s="333"/>
      <c r="J58" s="215"/>
      <c r="K58" s="158"/>
      <c r="L58" s="331"/>
      <c r="M58" s="160"/>
      <c r="N58" s="187"/>
      <c r="O58" s="327" t="s">
        <v>60</v>
      </c>
      <c r="P58" s="322">
        <v>0</v>
      </c>
      <c r="Q58" s="172">
        <v>0.05</v>
      </c>
      <c r="R58" s="173">
        <v>0.01</v>
      </c>
      <c r="S58" s="656" t="s">
        <v>305</v>
      </c>
      <c r="T58" s="64"/>
      <c r="U58" s="64"/>
      <c r="V58" s="63"/>
      <c r="W58" s="64"/>
      <c r="X58" s="63"/>
      <c r="Y58" s="65"/>
    </row>
    <row r="59" spans="1:25" s="1" customFormat="1" ht="23.25" thickBot="1" x14ac:dyDescent="0.3">
      <c r="A59" s="8"/>
      <c r="B59" s="346" t="s">
        <v>179</v>
      </c>
      <c r="C59" s="338"/>
      <c r="D59" s="347"/>
      <c r="E59" s="345"/>
      <c r="F59" s="345"/>
      <c r="G59" s="625">
        <v>0</v>
      </c>
      <c r="H59" s="215"/>
      <c r="I59" s="333"/>
      <c r="J59" s="215"/>
      <c r="K59" s="158"/>
      <c r="L59" s="331"/>
      <c r="M59" s="160"/>
      <c r="N59" s="215"/>
      <c r="O59" s="327" t="s">
        <v>60</v>
      </c>
      <c r="P59" s="322">
        <v>0</v>
      </c>
      <c r="Q59" s="172">
        <v>0.05</v>
      </c>
      <c r="R59" s="173">
        <v>0</v>
      </c>
      <c r="S59" s="656" t="s">
        <v>306</v>
      </c>
      <c r="T59" s="64"/>
      <c r="U59" s="64"/>
      <c r="V59" s="63"/>
      <c r="W59" s="64"/>
      <c r="X59" s="63"/>
      <c r="Y59" s="65"/>
    </row>
    <row r="60" spans="1:25" s="53" customFormat="1" ht="18.75" thickBot="1" x14ac:dyDescent="0.25">
      <c r="A60" s="40"/>
      <c r="B60" s="334" t="s">
        <v>180</v>
      </c>
      <c r="C60" s="335"/>
      <c r="D60" s="336"/>
      <c r="E60" s="336"/>
      <c r="F60" s="336"/>
      <c r="G60" s="582">
        <f>SUM(G61:G62)</f>
        <v>57849211.390000001</v>
      </c>
      <c r="H60" s="43">
        <f t="shared" ref="H60:H73" si="7">G60/$G$93</f>
        <v>5.6757813693987254E-2</v>
      </c>
      <c r="I60" s="91"/>
      <c r="J60" s="44"/>
      <c r="K60" s="44"/>
      <c r="L60" s="44"/>
      <c r="M60" s="130"/>
      <c r="N60" s="94"/>
      <c r="O60" s="42"/>
      <c r="P60" s="176">
        <f>SUM((G4+G15+G31+G40+G54)/G93)*100</f>
        <v>82.490232186649862</v>
      </c>
      <c r="Q60" s="49"/>
      <c r="R60" s="660"/>
      <c r="S60" s="140"/>
      <c r="T60" s="52"/>
      <c r="U60" s="52"/>
      <c r="V60" s="52"/>
      <c r="W60" s="52"/>
      <c r="X60" s="52"/>
      <c r="Y60" s="52"/>
    </row>
    <row r="61" spans="1:25" s="1" customFormat="1" ht="18" customHeight="1" x14ac:dyDescent="0.25">
      <c r="A61" s="8">
        <v>28</v>
      </c>
      <c r="B61" s="177" t="s">
        <v>55</v>
      </c>
      <c r="C61" s="178"/>
      <c r="D61" s="179" t="s">
        <v>92</v>
      </c>
      <c r="E61" s="180" t="s">
        <v>93</v>
      </c>
      <c r="F61" s="180" t="s">
        <v>94</v>
      </c>
      <c r="G61" s="663">
        <f>'[1]FFIN2 Maio 2018'!$G$45</f>
        <v>35955906.539999999</v>
      </c>
      <c r="H61" s="78">
        <f t="shared" si="7"/>
        <v>3.5277553411013539E-2</v>
      </c>
      <c r="I61" s="181">
        <f>'[1]FFIN2 Maio 2018'!$I$45</f>
        <v>-9.2899999999999996E-2</v>
      </c>
      <c r="J61" s="103"/>
      <c r="K61" s="112"/>
      <c r="L61" s="127" t="s">
        <v>95</v>
      </c>
      <c r="M61" s="698">
        <f>'[1]FFIN2 Maio 2018'!$M$45</f>
        <v>696540366.34000003</v>
      </c>
      <c r="N61" s="135">
        <f t="shared" ref="N61:N62" si="8">G61/M61</f>
        <v>5.1620707539078874E-2</v>
      </c>
      <c r="O61" s="818" t="s">
        <v>96</v>
      </c>
      <c r="P61" s="805">
        <f>(SUM(G61:G62)/G93)</f>
        <v>5.6757813693987254E-2</v>
      </c>
      <c r="Q61" s="790">
        <v>0.3</v>
      </c>
      <c r="R61" s="787">
        <v>0.15</v>
      </c>
      <c r="S61" s="793" t="s">
        <v>307</v>
      </c>
      <c r="T61" s="64"/>
      <c r="U61" s="64"/>
      <c r="V61" s="63"/>
      <c r="W61" s="64"/>
      <c r="X61" s="64"/>
      <c r="Y61" s="182"/>
    </row>
    <row r="62" spans="1:25" s="1" customFormat="1" ht="18.75" thickBot="1" x14ac:dyDescent="0.3">
      <c r="A62" s="8"/>
      <c r="B62" s="209" t="s">
        <v>116</v>
      </c>
      <c r="C62" s="87" t="s">
        <v>100</v>
      </c>
      <c r="D62" s="633" t="s">
        <v>320</v>
      </c>
      <c r="E62" s="110" t="s">
        <v>39</v>
      </c>
      <c r="F62" s="110" t="s">
        <v>94</v>
      </c>
      <c r="G62" s="699">
        <f>'[1]FFIN2 Maio 2018'!$G$46</f>
        <v>21893304.850000001</v>
      </c>
      <c r="H62" s="78">
        <f t="shared" si="7"/>
        <v>2.1480260282973715E-2</v>
      </c>
      <c r="I62" s="674">
        <f>'[1]FFIN2 Maio 2018'!$I$46</f>
        <v>8.6999999999999994E-2</v>
      </c>
      <c r="J62" s="146"/>
      <c r="K62" s="405"/>
      <c r="L62" s="211" t="s">
        <v>321</v>
      </c>
      <c r="M62" s="700">
        <f>'[1]FFIN2 Maio 2018'!$M$46</f>
        <v>322943648.32999998</v>
      </c>
      <c r="N62" s="378">
        <f t="shared" si="8"/>
        <v>6.7792956954608768E-2</v>
      </c>
      <c r="O62" s="820"/>
      <c r="P62" s="807"/>
      <c r="Q62" s="792"/>
      <c r="R62" s="789"/>
      <c r="S62" s="795"/>
      <c r="T62" s="64"/>
      <c r="U62" s="64"/>
      <c r="V62" s="63"/>
      <c r="W62" s="64"/>
      <c r="X62" s="64"/>
      <c r="Y62" s="182"/>
    </row>
    <row r="63" spans="1:25" s="1" customFormat="1" ht="18.75" thickBot="1" x14ac:dyDescent="0.3">
      <c r="A63" s="185"/>
      <c r="B63" s="334" t="s">
        <v>182</v>
      </c>
      <c r="C63" s="335"/>
      <c r="D63" s="336"/>
      <c r="E63" s="336"/>
      <c r="F63" s="336"/>
      <c r="G63" s="582">
        <f>SUM(G64)</f>
        <v>0</v>
      </c>
      <c r="H63" s="187">
        <f t="shared" si="7"/>
        <v>0</v>
      </c>
      <c r="I63" s="91"/>
      <c r="J63" s="44"/>
      <c r="K63" s="44"/>
      <c r="L63" s="44"/>
      <c r="M63" s="130"/>
      <c r="N63" s="131"/>
      <c r="O63" s="42"/>
      <c r="P63" s="166"/>
      <c r="Q63" s="49"/>
      <c r="R63" s="660"/>
      <c r="S63" s="140"/>
      <c r="T63" s="64"/>
      <c r="U63" s="64"/>
      <c r="V63" s="63"/>
      <c r="W63" s="64"/>
      <c r="X63" s="64"/>
      <c r="Y63" s="182"/>
    </row>
    <row r="64" spans="1:25" s="1" customFormat="1" ht="23.25" thickBot="1" x14ac:dyDescent="0.3">
      <c r="A64" s="185">
        <v>31</v>
      </c>
      <c r="B64" s="188" t="s">
        <v>50</v>
      </c>
      <c r="C64" s="108"/>
      <c r="D64" s="189" t="s">
        <v>101</v>
      </c>
      <c r="E64" s="190" t="s">
        <v>39</v>
      </c>
      <c r="F64" s="115" t="s">
        <v>49</v>
      </c>
      <c r="G64" s="627">
        <f>'[1]FFIN2 Maio 2018'!$G$48</f>
        <v>0</v>
      </c>
      <c r="H64" s="191">
        <f t="shared" si="7"/>
        <v>0</v>
      </c>
      <c r="I64" s="71">
        <f>'[1]FFIN2 Maio 2018'!$I$48</f>
        <v>0</v>
      </c>
      <c r="J64" s="146"/>
      <c r="K64" s="192"/>
      <c r="L64" s="127" t="s">
        <v>95</v>
      </c>
      <c r="M64" s="626">
        <f>'[1]FFIN2 Maio 2018'!$M$48</f>
        <v>0</v>
      </c>
      <c r="N64" s="441" t="e">
        <f>G64/M64</f>
        <v>#DIV/0!</v>
      </c>
      <c r="O64" s="193" t="s">
        <v>102</v>
      </c>
      <c r="P64" s="194">
        <f>G64/G93</f>
        <v>0</v>
      </c>
      <c r="Q64" s="195">
        <v>0.3</v>
      </c>
      <c r="R64" s="196">
        <v>0.02</v>
      </c>
      <c r="S64" s="656" t="s">
        <v>308</v>
      </c>
      <c r="T64" s="64"/>
      <c r="U64" s="64"/>
      <c r="V64" s="63"/>
      <c r="W64" s="64"/>
      <c r="X64" s="64"/>
      <c r="Y64" s="182"/>
    </row>
    <row r="65" spans="1:25" s="53" customFormat="1" ht="18.75" thickBot="1" x14ac:dyDescent="0.25">
      <c r="A65" s="40"/>
      <c r="B65" s="334" t="s">
        <v>181</v>
      </c>
      <c r="C65" s="335"/>
      <c r="D65" s="336"/>
      <c r="E65" s="336"/>
      <c r="F65" s="336"/>
      <c r="G65" s="582">
        <f>SUM(G66:G73)</f>
        <v>75065988.719999999</v>
      </c>
      <c r="H65" s="43">
        <f t="shared" si="7"/>
        <v>7.3649774995225029E-2</v>
      </c>
      <c r="I65" s="91"/>
      <c r="J65" s="29"/>
      <c r="K65" s="44"/>
      <c r="L65" s="44"/>
      <c r="M65" s="130"/>
      <c r="N65" s="131"/>
      <c r="O65" s="165"/>
      <c r="P65" s="660"/>
      <c r="Q65" s="49"/>
      <c r="R65" s="660"/>
      <c r="S65" s="140"/>
      <c r="T65" s="52"/>
      <c r="U65" s="52"/>
      <c r="V65" s="52"/>
      <c r="W65" s="52"/>
      <c r="X65" s="52"/>
      <c r="Y65" s="52"/>
    </row>
    <row r="66" spans="1:25" s="1" customFormat="1" ht="18" x14ac:dyDescent="0.25">
      <c r="A66" s="8">
        <v>34</v>
      </c>
      <c r="B66" s="54" t="s">
        <v>107</v>
      </c>
      <c r="C66" s="197"/>
      <c r="D66" s="68" t="s">
        <v>108</v>
      </c>
      <c r="E66" s="124" t="s">
        <v>39</v>
      </c>
      <c r="F66" s="124" t="s">
        <v>49</v>
      </c>
      <c r="G66" s="665">
        <f>'[1]FFIN2 Maio 2018'!$G$50</f>
        <v>9009457.2200000007</v>
      </c>
      <c r="H66" s="78">
        <f t="shared" si="7"/>
        <v>8.839482545912514E-3</v>
      </c>
      <c r="I66" s="678">
        <f>'[1]FFIN2 Maio 2018'!$I$50</f>
        <v>-0.1042</v>
      </c>
      <c r="J66" s="181"/>
      <c r="K66" s="152"/>
      <c r="L66" s="113" t="s">
        <v>95</v>
      </c>
      <c r="M66" s="701">
        <f>'[1]FFIN2 Maio 2018'!$M$50</f>
        <v>215692074.27000001</v>
      </c>
      <c r="N66" s="78">
        <f>G66/M66</f>
        <v>4.1769996651439781E-2</v>
      </c>
      <c r="O66" s="802" t="s">
        <v>102</v>
      </c>
      <c r="P66" s="785">
        <f>SUM(G66:G73)/G93</f>
        <v>7.3649774995225029E-2</v>
      </c>
      <c r="Q66" s="790"/>
      <c r="R66" s="791"/>
      <c r="S66" s="816" t="s">
        <v>309</v>
      </c>
      <c r="T66" s="634"/>
      <c r="U66" s="64"/>
      <c r="V66" s="63"/>
      <c r="W66" s="64"/>
      <c r="X66" s="64"/>
      <c r="Y66" s="182"/>
    </row>
    <row r="67" spans="1:25" s="1" customFormat="1" ht="19.5" thickBot="1" x14ac:dyDescent="0.3">
      <c r="A67" s="8"/>
      <c r="B67" s="107" t="s">
        <v>113</v>
      </c>
      <c r="C67" s="67" t="s">
        <v>114</v>
      </c>
      <c r="D67" s="68" t="s">
        <v>115</v>
      </c>
      <c r="E67" s="124" t="s">
        <v>39</v>
      </c>
      <c r="F67" s="124" t="s">
        <v>49</v>
      </c>
      <c r="G67" s="364">
        <f>'[1]FFIN2 Maio 2018'!$G$51</f>
        <v>21889646.530000001</v>
      </c>
      <c r="H67" s="78">
        <f t="shared" si="7"/>
        <v>2.147667098175415E-2</v>
      </c>
      <c r="I67" s="358">
        <f>'[1]FFIN2 Maio 2018'!$I$51</f>
        <v>-0.10340000000000001</v>
      </c>
      <c r="J67" s="181"/>
      <c r="K67" s="206"/>
      <c r="L67" s="113" t="s">
        <v>95</v>
      </c>
      <c r="M67" s="451">
        <f>'[1]FFIN2 Maio 2018'!$M$51</f>
        <v>204206328.05000001</v>
      </c>
      <c r="N67" s="70">
        <f t="shared" ref="N67:N71" si="9">G67/M67</f>
        <v>0.1071937718043699</v>
      </c>
      <c r="O67" s="802"/>
      <c r="P67" s="785"/>
      <c r="Q67" s="791"/>
      <c r="R67" s="791"/>
      <c r="S67" s="817"/>
      <c r="T67" s="634"/>
      <c r="U67" s="64"/>
      <c r="V67" s="63"/>
      <c r="W67" s="64"/>
      <c r="X67" s="64"/>
      <c r="Y67" s="182"/>
    </row>
    <row r="68" spans="1:25" s="1" customFormat="1" ht="18" x14ac:dyDescent="0.25">
      <c r="A68" s="8"/>
      <c r="B68" s="54" t="s">
        <v>75</v>
      </c>
      <c r="C68" s="197"/>
      <c r="D68" s="68" t="s">
        <v>103</v>
      </c>
      <c r="E68" s="124" t="s">
        <v>104</v>
      </c>
      <c r="F68" s="124" t="s">
        <v>105</v>
      </c>
      <c r="G68" s="384">
        <f>'[1]FFIN2 Maio 2018'!$G$52</f>
        <v>20105378.440000001</v>
      </c>
      <c r="H68" s="78">
        <f t="shared" si="7"/>
        <v>1.9726065339965702E-2</v>
      </c>
      <c r="I68" s="376">
        <f>'[1]FFIN2 Maio 2018'!$I$52</f>
        <v>-7.8100000000000003E-2</v>
      </c>
      <c r="J68" s="151"/>
      <c r="K68" s="198"/>
      <c r="L68" s="118" t="s">
        <v>95</v>
      </c>
      <c r="M68" s="452">
        <f>'[1]FFIN2 Maio 2018'!$M$52</f>
        <v>598533700.20000005</v>
      </c>
      <c r="N68" s="78">
        <f t="shared" si="9"/>
        <v>3.3591054995369164E-2</v>
      </c>
      <c r="O68" s="802"/>
      <c r="P68" s="785"/>
      <c r="Q68" s="791"/>
      <c r="R68" s="791"/>
      <c r="S68" s="817"/>
      <c r="T68" s="634"/>
      <c r="U68" s="64"/>
      <c r="V68" s="63"/>
      <c r="W68" s="64"/>
      <c r="X68" s="64"/>
      <c r="Y68" s="182"/>
    </row>
    <row r="69" spans="1:25" s="1" customFormat="1" ht="18" x14ac:dyDescent="0.25">
      <c r="A69" s="8"/>
      <c r="B69" s="54" t="s">
        <v>75</v>
      </c>
      <c r="C69" s="197"/>
      <c r="D69" s="68" t="s">
        <v>106</v>
      </c>
      <c r="E69" s="124" t="s">
        <v>39</v>
      </c>
      <c r="F69" s="124" t="s">
        <v>49</v>
      </c>
      <c r="G69" s="384">
        <f>'[1]FFIN2 Maio 2018'!$G$53</f>
        <v>2626904.84</v>
      </c>
      <c r="H69" s="78">
        <f t="shared" si="7"/>
        <v>2.5773449960344117E-3</v>
      </c>
      <c r="I69" s="376">
        <f>'[1]FFIN2 Maio 2018'!$I$53</f>
        <v>-8.6199999999999999E-2</v>
      </c>
      <c r="J69" s="200"/>
      <c r="K69" s="201"/>
      <c r="L69" s="202" t="s">
        <v>95</v>
      </c>
      <c r="M69" s="434">
        <f>'[1]FFIN2 Maio 2018'!$M$53</f>
        <v>396266741.01999998</v>
      </c>
      <c r="N69" s="119">
        <f t="shared" si="9"/>
        <v>6.6291327736420283E-3</v>
      </c>
      <c r="O69" s="802"/>
      <c r="P69" s="785"/>
      <c r="Q69" s="791"/>
      <c r="R69" s="791"/>
      <c r="S69" s="817"/>
      <c r="T69" s="634"/>
      <c r="U69" s="64"/>
      <c r="V69" s="63"/>
      <c r="W69" s="64"/>
      <c r="X69" s="64"/>
      <c r="Y69" s="182"/>
    </row>
    <row r="70" spans="1:25" s="1" customFormat="1" ht="18" x14ac:dyDescent="0.25">
      <c r="A70" s="8"/>
      <c r="B70" s="54" t="s">
        <v>206</v>
      </c>
      <c r="C70" s="197"/>
      <c r="D70" s="68" t="s">
        <v>103</v>
      </c>
      <c r="E70" s="124" t="s">
        <v>104</v>
      </c>
      <c r="F70" s="124" t="s">
        <v>105</v>
      </c>
      <c r="G70" s="384">
        <f>'[2]FFPREV Maio 2018'!$G$37</f>
        <v>7012365.2599999998</v>
      </c>
      <c r="H70" s="78">
        <f t="shared" si="7"/>
        <v>6.8800682225042256E-3</v>
      </c>
      <c r="I70" s="376">
        <f>'[2]FFPREV Maio 2018'!$I$37</f>
        <v>-7.8100000000000003E-2</v>
      </c>
      <c r="J70" s="181"/>
      <c r="K70" s="388"/>
      <c r="L70" s="387" t="s">
        <v>207</v>
      </c>
      <c r="M70" s="453">
        <f>'[2]FFPREV Maio 2018'!$M$37</f>
        <v>598533700.20000005</v>
      </c>
      <c r="N70" s="389">
        <f t="shared" si="9"/>
        <v>1.1715907153860873E-2</v>
      </c>
      <c r="O70" s="802"/>
      <c r="P70" s="785"/>
      <c r="Q70" s="791"/>
      <c r="R70" s="791"/>
      <c r="S70" s="817"/>
      <c r="T70" s="634"/>
      <c r="U70" s="64"/>
      <c r="V70" s="63"/>
      <c r="W70" s="64"/>
      <c r="X70" s="64"/>
      <c r="Y70" s="182"/>
    </row>
    <row r="71" spans="1:25" s="1" customFormat="1" ht="18" x14ac:dyDescent="0.25">
      <c r="A71" s="8"/>
      <c r="B71" s="54" t="s">
        <v>206</v>
      </c>
      <c r="C71" s="197"/>
      <c r="D71" s="68" t="s">
        <v>208</v>
      </c>
      <c r="E71" s="124" t="s">
        <v>39</v>
      </c>
      <c r="F71" s="124" t="s">
        <v>49</v>
      </c>
      <c r="G71" s="384">
        <f>'[2]FFPREV Maio 2018'!$G$38</f>
        <v>3797500.36</v>
      </c>
      <c r="H71" s="78">
        <f t="shared" si="7"/>
        <v>3.7258557680699528E-3</v>
      </c>
      <c r="I71" s="376">
        <f>'[2]FFPREV Maio 2018'!$I$38</f>
        <v>-8.6199999999999999E-2</v>
      </c>
      <c r="J71" s="181"/>
      <c r="K71" s="390"/>
      <c r="L71" s="387" t="s">
        <v>95</v>
      </c>
      <c r="M71" s="453">
        <f>'[2]FFPREV Maio 2018'!$M$38</f>
        <v>396266741.01999998</v>
      </c>
      <c r="N71" s="389">
        <f t="shared" si="9"/>
        <v>9.5831922462761929E-3</v>
      </c>
      <c r="O71" s="802"/>
      <c r="P71" s="785"/>
      <c r="Q71" s="791"/>
      <c r="R71" s="791"/>
      <c r="S71" s="817"/>
      <c r="T71" s="634"/>
      <c r="U71" s="64"/>
      <c r="V71" s="63"/>
      <c r="W71" s="64"/>
      <c r="X71" s="64"/>
      <c r="Y71" s="182"/>
    </row>
    <row r="72" spans="1:25" s="1" customFormat="1" ht="18.75" thickBot="1" x14ac:dyDescent="0.3">
      <c r="A72" s="8">
        <v>35</v>
      </c>
      <c r="B72" s="177" t="s">
        <v>50</v>
      </c>
      <c r="C72" s="108"/>
      <c r="D72" s="184" t="s">
        <v>109</v>
      </c>
      <c r="E72" s="110" t="s">
        <v>110</v>
      </c>
      <c r="F72" s="110" t="s">
        <v>111</v>
      </c>
      <c r="G72" s="591">
        <f>'[1]FFIN2 Maio 2018'!$G$54</f>
        <v>6475256.6699999999</v>
      </c>
      <c r="H72" s="78">
        <f t="shared" si="7"/>
        <v>6.3530928575482575E-3</v>
      </c>
      <c r="I72" s="358">
        <f>'[1]FFIN2 Maio 2018'!$I$54</f>
        <v>-0.10580000000000001</v>
      </c>
      <c r="J72" s="116"/>
      <c r="K72" s="198"/>
      <c r="L72" s="113" t="s">
        <v>112</v>
      </c>
      <c r="M72" s="452">
        <f>'[1]FFIN2 Maio 2018'!$M$54</f>
        <v>410294994.58999997</v>
      </c>
      <c r="N72" s="204">
        <f>G72/M72</f>
        <v>1.5781953851205524E-2</v>
      </c>
      <c r="O72" s="802"/>
      <c r="P72" s="785"/>
      <c r="Q72" s="791"/>
      <c r="R72" s="791"/>
      <c r="S72" s="817"/>
      <c r="T72" s="635"/>
      <c r="U72" s="64"/>
      <c r="V72" s="63"/>
      <c r="W72" s="64"/>
      <c r="X72" s="64"/>
      <c r="Y72" s="182"/>
    </row>
    <row r="73" spans="1:25" s="1" customFormat="1" ht="18.75" thickBot="1" x14ac:dyDescent="0.3">
      <c r="A73" s="8">
        <v>36</v>
      </c>
      <c r="B73" s="391" t="s">
        <v>209</v>
      </c>
      <c r="C73" s="108"/>
      <c r="D73" s="88" t="s">
        <v>327</v>
      </c>
      <c r="E73" s="180" t="s">
        <v>39</v>
      </c>
      <c r="F73" s="155" t="s">
        <v>49</v>
      </c>
      <c r="G73" s="454">
        <f>'[2]FFPREV Maio 2018'!$G$39</f>
        <v>4149479.4</v>
      </c>
      <c r="H73" s="78">
        <f t="shared" si="7"/>
        <v>4.071194283435815E-3</v>
      </c>
      <c r="I73" s="367">
        <f>'[2]FFPREV Maio 2018'!$I$39</f>
        <v>-0.1109</v>
      </c>
      <c r="J73" s="181"/>
      <c r="K73" s="324"/>
      <c r="L73" s="392" t="s">
        <v>211</v>
      </c>
      <c r="M73" s="456">
        <f>'[2]FFPREV Maio 2018'!$M$39</f>
        <v>297491953.08999997</v>
      </c>
      <c r="N73" s="70">
        <f>G73/M73</f>
        <v>1.3948207193169563E-2</v>
      </c>
      <c r="O73" s="802"/>
      <c r="P73" s="785"/>
      <c r="Q73" s="792"/>
      <c r="R73" s="791"/>
      <c r="S73" s="795"/>
      <c r="T73" s="64"/>
      <c r="U73" s="64"/>
      <c r="V73" s="63"/>
      <c r="W73" s="64"/>
      <c r="X73" s="64"/>
      <c r="Y73" s="182"/>
    </row>
    <row r="74" spans="1:25" s="1" customFormat="1" ht="23.25" thickBot="1" x14ac:dyDescent="0.3">
      <c r="A74" s="8"/>
      <c r="B74" s="350" t="s">
        <v>183</v>
      </c>
      <c r="C74" s="338"/>
      <c r="D74" s="348"/>
      <c r="E74" s="340"/>
      <c r="F74" s="342"/>
      <c r="G74" s="612">
        <v>0</v>
      </c>
      <c r="H74" s="215"/>
      <c r="I74" s="116"/>
      <c r="J74" s="408"/>
      <c r="K74" s="318"/>
      <c r="L74" s="409"/>
      <c r="M74" s="317"/>
      <c r="N74" s="187"/>
      <c r="O74" s="410" t="s">
        <v>96</v>
      </c>
      <c r="P74" s="322">
        <v>0</v>
      </c>
      <c r="Q74" s="95">
        <v>0.2</v>
      </c>
      <c r="R74" s="96">
        <v>0</v>
      </c>
      <c r="S74" s="581" t="s">
        <v>310</v>
      </c>
      <c r="T74" s="64"/>
      <c r="U74" s="64"/>
      <c r="V74" s="63"/>
      <c r="W74" s="64"/>
      <c r="X74" s="64"/>
      <c r="Y74" s="182"/>
    </row>
    <row r="75" spans="1:25" s="53" customFormat="1" ht="18.75" thickBot="1" x14ac:dyDescent="0.25">
      <c r="A75" s="40"/>
      <c r="B75" s="350" t="s">
        <v>184</v>
      </c>
      <c r="C75" s="335"/>
      <c r="D75" s="336"/>
      <c r="E75" s="336"/>
      <c r="F75" s="336"/>
      <c r="G75" s="582">
        <f>SUM(G76:G79)</f>
        <v>15851636.359999999</v>
      </c>
      <c r="H75" s="43">
        <f t="shared" ref="H75:H90" si="10">G75/$G$93</f>
        <v>1.5552575422337392E-2</v>
      </c>
      <c r="I75" s="412"/>
      <c r="J75" s="44"/>
      <c r="K75" s="44"/>
      <c r="L75" s="44"/>
      <c r="M75" s="130"/>
      <c r="N75" s="131"/>
      <c r="O75" s="42"/>
      <c r="P75" s="166"/>
      <c r="Q75" s="660"/>
      <c r="R75" s="660"/>
      <c r="S75" s="140"/>
      <c r="T75" s="52"/>
      <c r="U75" s="52"/>
      <c r="V75" s="52"/>
      <c r="W75" s="52"/>
      <c r="X75" s="52"/>
      <c r="Y75" s="52"/>
    </row>
    <row r="76" spans="1:25" s="1" customFormat="1" ht="18.75" thickBot="1" x14ac:dyDescent="0.3">
      <c r="A76" s="8">
        <v>39</v>
      </c>
      <c r="B76" s="209" t="s">
        <v>116</v>
      </c>
      <c r="C76" s="87" t="s">
        <v>100</v>
      </c>
      <c r="D76" s="210" t="s">
        <v>117</v>
      </c>
      <c r="E76" s="110" t="s">
        <v>38</v>
      </c>
      <c r="F76" s="110" t="s">
        <v>39</v>
      </c>
      <c r="G76" s="699">
        <f>'[1]FFIN2 Maio 2018'!$G$57</f>
        <v>3497448.47</v>
      </c>
      <c r="H76" s="614">
        <f t="shared" si="10"/>
        <v>3.4314647320999683E-3</v>
      </c>
      <c r="I76" s="702">
        <f>'[1]FFIN2 Maio 2018'!$I$57</f>
        <v>3.39E-2</v>
      </c>
      <c r="J76" s="117"/>
      <c r="K76" s="377"/>
      <c r="L76" s="211" t="s">
        <v>118</v>
      </c>
      <c r="M76" s="664">
        <f>'[1]FFIN2 Maio 2018'!$M$57</f>
        <v>1065111919.7</v>
      </c>
      <c r="N76" s="378">
        <f>G76/M76</f>
        <v>3.2836440990962651E-3</v>
      </c>
      <c r="O76" s="799" t="s">
        <v>96</v>
      </c>
      <c r="P76" s="796">
        <f>SUM(G76:G79)/G93</f>
        <v>1.5552575422337392E-2</v>
      </c>
      <c r="Q76" s="778">
        <v>0.1</v>
      </c>
      <c r="R76" s="778">
        <v>0.03</v>
      </c>
      <c r="S76" s="813" t="s">
        <v>311</v>
      </c>
      <c r="T76" s="64"/>
      <c r="U76" s="64"/>
      <c r="V76" s="63"/>
      <c r="W76" s="64"/>
      <c r="X76" s="64"/>
      <c r="Y76" s="90"/>
    </row>
    <row r="77" spans="1:25" s="1" customFormat="1" ht="18.75" thickBot="1" x14ac:dyDescent="0.3">
      <c r="A77" s="8"/>
      <c r="B77" s="393" t="s">
        <v>212</v>
      </c>
      <c r="C77" s="87" t="s">
        <v>100</v>
      </c>
      <c r="D77" s="210" t="s">
        <v>117</v>
      </c>
      <c r="E77" s="110" t="s">
        <v>38</v>
      </c>
      <c r="F77" s="110" t="s">
        <v>39</v>
      </c>
      <c r="G77" s="663">
        <f>'[2]FFPREV Maio 2018'!$G$42</f>
        <v>3447182.29</v>
      </c>
      <c r="H77" s="78">
        <f t="shared" si="10"/>
        <v>3.3821468864284952E-3</v>
      </c>
      <c r="I77" s="181">
        <f>'[2]FFPREV Maio 2018'!$I$42</f>
        <v>3.39E-2</v>
      </c>
      <c r="J77" s="411"/>
      <c r="K77" s="403"/>
      <c r="L77" s="211" t="s">
        <v>71</v>
      </c>
      <c r="M77" s="664">
        <f>'[2]FFPREV Maio 2018'!$M$42</f>
        <v>1065111919.7</v>
      </c>
      <c r="N77" s="378">
        <f>G77/M77</f>
        <v>3.2364507675127089E-3</v>
      </c>
      <c r="O77" s="800"/>
      <c r="P77" s="797"/>
      <c r="Q77" s="779"/>
      <c r="R77" s="779"/>
      <c r="S77" s="814"/>
      <c r="T77" s="64"/>
      <c r="U77" s="64"/>
      <c r="V77" s="63"/>
      <c r="W77" s="64"/>
      <c r="X77" s="64"/>
      <c r="Y77" s="90"/>
    </row>
    <row r="78" spans="1:25" s="1" customFormat="1" ht="18" x14ac:dyDescent="0.25">
      <c r="A78" s="8">
        <v>40</v>
      </c>
      <c r="B78" s="66" t="s">
        <v>107</v>
      </c>
      <c r="C78" s="197"/>
      <c r="D78" s="179" t="s">
        <v>119</v>
      </c>
      <c r="E78" s="124" t="s">
        <v>120</v>
      </c>
      <c r="F78" s="124" t="s">
        <v>120</v>
      </c>
      <c r="G78" s="665">
        <f>'[1]FFIN2 Maio 2018'!$G$58</f>
        <v>5566878.5</v>
      </c>
      <c r="H78" s="78">
        <f t="shared" si="10"/>
        <v>5.4618523773805805E-3</v>
      </c>
      <c r="I78" s="670">
        <f>'[1]FFIN2 Maio 2018'!$I$58</f>
        <v>4.5199999999999997E-2</v>
      </c>
      <c r="J78" s="111"/>
      <c r="K78" s="126"/>
      <c r="L78" s="113" t="s">
        <v>95</v>
      </c>
      <c r="M78" s="701">
        <f>'[1]FFIN2 Maio 2018'!$M$58</f>
        <v>36173579.079999998</v>
      </c>
      <c r="N78" s="378">
        <f>G78/M78</f>
        <v>0.15389349468816788</v>
      </c>
      <c r="O78" s="800"/>
      <c r="P78" s="797"/>
      <c r="Q78" s="779"/>
      <c r="R78" s="779"/>
      <c r="S78" s="814"/>
      <c r="T78" s="64"/>
      <c r="U78" s="64"/>
      <c r="V78" s="63"/>
      <c r="W78" s="64"/>
      <c r="X78" s="64"/>
      <c r="Y78" s="90"/>
    </row>
    <row r="79" spans="1:25" s="1" customFormat="1" ht="18.75" thickBot="1" x14ac:dyDescent="0.3">
      <c r="A79" s="8"/>
      <c r="B79" s="413" t="s">
        <v>202</v>
      </c>
      <c r="C79" s="197"/>
      <c r="D79" s="88" t="s">
        <v>119</v>
      </c>
      <c r="E79" s="124" t="s">
        <v>120</v>
      </c>
      <c r="F79" s="124" t="s">
        <v>120</v>
      </c>
      <c r="G79" s="673">
        <f>'[2]FFPREV Maio 2018'!$G$43</f>
        <v>3340127.1</v>
      </c>
      <c r="H79" s="89">
        <f t="shared" si="10"/>
        <v>3.277111426428348E-3</v>
      </c>
      <c r="I79" s="674">
        <f>'[2]FFPREV Maio 2018'!$I$43</f>
        <v>4.5199999999999997E-2</v>
      </c>
      <c r="J79" s="169"/>
      <c r="K79" s="405"/>
      <c r="L79" s="387" t="s">
        <v>95</v>
      </c>
      <c r="M79" s="703">
        <f>'[2]FFPREV Maio 2018'!$M$43</f>
        <v>36173579.079999998</v>
      </c>
      <c r="N79" s="378">
        <f>G79/M79</f>
        <v>9.2336096812900725E-2</v>
      </c>
      <c r="O79" s="801"/>
      <c r="P79" s="798"/>
      <c r="Q79" s="780"/>
      <c r="R79" s="780"/>
      <c r="S79" s="815"/>
      <c r="T79" s="64"/>
      <c r="U79" s="64"/>
      <c r="V79" s="63"/>
      <c r="W79" s="64"/>
      <c r="X79" s="64"/>
      <c r="Y79" s="90"/>
    </row>
    <row r="80" spans="1:25" s="1" customFormat="1" ht="18.75" thickBot="1" x14ac:dyDescent="0.3">
      <c r="A80" s="8"/>
      <c r="B80" s="350" t="s">
        <v>185</v>
      </c>
      <c r="C80" s="335"/>
      <c r="D80" s="336"/>
      <c r="E80" s="336"/>
      <c r="F80" s="336"/>
      <c r="G80" s="582">
        <f>SUM(G81:G85)</f>
        <v>15935674.449999999</v>
      </c>
      <c r="H80" s="43">
        <f t="shared" si="10"/>
        <v>1.5635028028705037E-2</v>
      </c>
      <c r="I80" s="91"/>
      <c r="J80" s="92"/>
      <c r="K80" s="92"/>
      <c r="L80" s="44"/>
      <c r="M80" s="93"/>
      <c r="N80" s="131"/>
      <c r="O80" s="42"/>
      <c r="P80" s="660"/>
      <c r="Q80" s="49"/>
      <c r="R80" s="49"/>
      <c r="S80" s="140"/>
      <c r="T80" s="64"/>
      <c r="U80" s="64"/>
      <c r="V80" s="63"/>
      <c r="W80" s="64"/>
      <c r="X80" s="64"/>
      <c r="Y80" s="90"/>
    </row>
    <row r="81" spans="1:25" s="1" customFormat="1" ht="18" x14ac:dyDescent="0.25">
      <c r="A81" s="8"/>
      <c r="B81" s="148" t="s">
        <v>124</v>
      </c>
      <c r="C81" s="216"/>
      <c r="D81" s="707" t="s">
        <v>125</v>
      </c>
      <c r="E81" s="100" t="s">
        <v>89</v>
      </c>
      <c r="F81" s="100" t="s">
        <v>89</v>
      </c>
      <c r="G81" s="694">
        <f>'[1]FFIN2 Maio 2018'!$G$60</f>
        <v>14056429.789999999</v>
      </c>
      <c r="H81" s="102">
        <f t="shared" si="10"/>
        <v>1.3791237668649443E-2</v>
      </c>
      <c r="I81" s="711">
        <f>'[1]FFIN2 Maio 2018'!$I$60</f>
        <v>-2.47E-3</v>
      </c>
      <c r="J81" s="712"/>
      <c r="K81" s="220"/>
      <c r="L81" s="216" t="s">
        <v>80</v>
      </c>
      <c r="M81" s="716">
        <f>'[1]FFIN2 Maio 2018'!$M$60</f>
        <v>99446880.590000004</v>
      </c>
      <c r="N81" s="106">
        <f>G81/M81</f>
        <v>0.14134611067341474</v>
      </c>
      <c r="O81" s="781" t="s">
        <v>126</v>
      </c>
      <c r="P81" s="805">
        <f>SUM(G81:G85)/G93</f>
        <v>1.5635028028705037E-2</v>
      </c>
      <c r="Q81" s="808">
        <v>0.05</v>
      </c>
      <c r="R81" s="790">
        <v>0.03</v>
      </c>
      <c r="S81" s="793" t="s">
        <v>312</v>
      </c>
      <c r="T81" s="64"/>
      <c r="U81" s="64"/>
      <c r="V81" s="63"/>
      <c r="W81" s="64"/>
      <c r="X81" s="64"/>
      <c r="Y81" s="90"/>
    </row>
    <row r="82" spans="1:25" s="1" customFormat="1" ht="15.75" x14ac:dyDescent="0.25">
      <c r="A82" s="8"/>
      <c r="B82" s="706" t="s">
        <v>341</v>
      </c>
      <c r="C82" s="216"/>
      <c r="D82" s="708" t="s">
        <v>340</v>
      </c>
      <c r="E82" s="115" t="s">
        <v>89</v>
      </c>
      <c r="F82" s="190" t="s">
        <v>89</v>
      </c>
      <c r="G82" s="710">
        <f>'[1]FFIN2 Maio 2018'!$G$61</f>
        <v>224826.46</v>
      </c>
      <c r="H82" s="116">
        <f t="shared" si="10"/>
        <v>2.2058482775384083E-4</v>
      </c>
      <c r="I82" s="358">
        <f>'[1]FFIN2 Maio 2018'!$I$61</f>
        <v>-6.3200000000000006E-2</v>
      </c>
      <c r="J82" s="713"/>
      <c r="K82" s="715"/>
      <c r="L82" s="216" t="s">
        <v>80</v>
      </c>
      <c r="M82" s="430">
        <f>'[1]FFIN2 Maio 2018'!$M$61</f>
        <v>8964955.2200000007</v>
      </c>
      <c r="N82" s="119">
        <f>G82/M82</f>
        <v>2.5078369549290394E-2</v>
      </c>
      <c r="O82" s="782"/>
      <c r="P82" s="806"/>
      <c r="Q82" s="809"/>
      <c r="R82" s="791"/>
      <c r="S82" s="794"/>
      <c r="T82" s="64"/>
      <c r="U82" s="64"/>
      <c r="V82" s="63"/>
      <c r="W82" s="64"/>
      <c r="X82" s="64"/>
      <c r="Y82" s="90"/>
    </row>
    <row r="83" spans="1:25" s="1" customFormat="1" ht="15.75" x14ac:dyDescent="0.25">
      <c r="A83" s="8"/>
      <c r="B83" s="706" t="s">
        <v>342</v>
      </c>
      <c r="C83" s="216"/>
      <c r="D83" s="709" t="s">
        <v>340</v>
      </c>
      <c r="E83" s="115" t="s">
        <v>89</v>
      </c>
      <c r="F83" s="115" t="s">
        <v>89</v>
      </c>
      <c r="G83" s="615">
        <f>'[2]FFPREV Maio 2018'!$G$45</f>
        <v>337239.7</v>
      </c>
      <c r="H83" s="78">
        <f t="shared" si="10"/>
        <v>3.3087725144209879E-4</v>
      </c>
      <c r="I83" s="358">
        <f>'[2]FFPREV Maio 2018'!$I$45</f>
        <v>-6.3200000000000006E-2</v>
      </c>
      <c r="J83" s="224"/>
      <c r="K83" s="714"/>
      <c r="L83" s="216" t="s">
        <v>80</v>
      </c>
      <c r="M83" s="445">
        <f>'[2]FFPREV Maio 2018'!$M$45</f>
        <v>8964955.2200000007</v>
      </c>
      <c r="N83" s="119">
        <f>G83/M83</f>
        <v>3.7617555439390132E-2</v>
      </c>
      <c r="O83" s="782"/>
      <c r="P83" s="806"/>
      <c r="Q83" s="809"/>
      <c r="R83" s="791"/>
      <c r="S83" s="794"/>
      <c r="T83" s="64"/>
      <c r="U83" s="64"/>
      <c r="V83" s="63"/>
      <c r="W83" s="64"/>
      <c r="X83" s="64"/>
      <c r="Y83" s="90"/>
    </row>
    <row r="84" spans="1:25" s="1" customFormat="1" ht="18" x14ac:dyDescent="0.25">
      <c r="A84" s="8"/>
      <c r="B84" s="221" t="s">
        <v>127</v>
      </c>
      <c r="C84" s="222"/>
      <c r="D84" s="223" t="s">
        <v>128</v>
      </c>
      <c r="E84" s="180" t="s">
        <v>89</v>
      </c>
      <c r="F84" s="180" t="s">
        <v>89</v>
      </c>
      <c r="G84" s="665">
        <f>'[1]FFIN2 Maio 2018'!$G$62</f>
        <v>470328.13</v>
      </c>
      <c r="H84" s="78">
        <f t="shared" si="10"/>
        <v>4.6145480182286405E-4</v>
      </c>
      <c r="I84" s="704">
        <f>'[1]FFIN2 Maio 2018'!$I$62</f>
        <v>-1.1999999999999999E-3</v>
      </c>
      <c r="J84" s="224"/>
      <c r="K84" s="225"/>
      <c r="L84" s="226" t="s">
        <v>80</v>
      </c>
      <c r="M84" s="688">
        <f>'[1]FFIN2 Maio 2018'!$M$62</f>
        <v>213614026.62</v>
      </c>
      <c r="N84" s="114">
        <f>G84/M84</f>
        <v>2.2017661360631113E-3</v>
      </c>
      <c r="O84" s="782"/>
      <c r="P84" s="806"/>
      <c r="Q84" s="809"/>
      <c r="R84" s="791"/>
      <c r="S84" s="794"/>
      <c r="T84" s="64"/>
      <c r="U84" s="64"/>
      <c r="V84" s="63"/>
      <c r="W84" s="64"/>
      <c r="X84" s="64"/>
      <c r="Y84" s="90"/>
    </row>
    <row r="85" spans="1:25" s="1" customFormat="1" ht="18.75" thickBot="1" x14ac:dyDescent="0.3">
      <c r="A85" s="8"/>
      <c r="B85" s="227" t="s">
        <v>129</v>
      </c>
      <c r="C85" s="216"/>
      <c r="D85" s="228" t="s">
        <v>130</v>
      </c>
      <c r="E85" s="155" t="s">
        <v>89</v>
      </c>
      <c r="F85" s="155" t="s">
        <v>89</v>
      </c>
      <c r="G85" s="693">
        <f>'[1]FFIN2 Maio 2018'!$G$63</f>
        <v>846850.37</v>
      </c>
      <c r="H85" s="89">
        <f t="shared" si="10"/>
        <v>8.3087347903679307E-4</v>
      </c>
      <c r="I85" s="157">
        <f>'[1]FFIN2 Maio 2018'!$I$63</f>
        <v>-6.1000000000000004E-3</v>
      </c>
      <c r="J85" s="229"/>
      <c r="K85" s="230"/>
      <c r="L85" s="231" t="s">
        <v>80</v>
      </c>
      <c r="M85" s="688">
        <f>'[1]FFIN2 Maio 2018'!$M$63</f>
        <v>214521557.38</v>
      </c>
      <c r="N85" s="171">
        <f>G85/M85</f>
        <v>3.9476236343926174E-3</v>
      </c>
      <c r="O85" s="783"/>
      <c r="P85" s="807"/>
      <c r="Q85" s="810"/>
      <c r="R85" s="792"/>
      <c r="S85" s="795"/>
      <c r="T85" s="64"/>
      <c r="U85" s="64"/>
      <c r="V85" s="63"/>
      <c r="W85" s="64"/>
      <c r="X85" s="64"/>
      <c r="Y85" s="90"/>
    </row>
    <row r="86" spans="1:25" s="53" customFormat="1" ht="18.75" thickBot="1" x14ac:dyDescent="0.25">
      <c r="A86" s="40"/>
      <c r="B86" s="350" t="s">
        <v>186</v>
      </c>
      <c r="C86" s="335"/>
      <c r="D86" s="336"/>
      <c r="E86" s="336"/>
      <c r="F86" s="336"/>
      <c r="G86" s="582">
        <f>SUM(G87:G88)</f>
        <v>13752313.84</v>
      </c>
      <c r="H86" s="43">
        <f t="shared" si="10"/>
        <v>1.3492859246252249E-2</v>
      </c>
      <c r="I86" s="91"/>
      <c r="J86" s="92"/>
      <c r="K86" s="44"/>
      <c r="L86" s="44"/>
      <c r="M86" s="130"/>
      <c r="N86" s="131"/>
      <c r="O86" s="42"/>
      <c r="P86" s="660"/>
      <c r="Q86" s="166"/>
      <c r="R86" s="166"/>
      <c r="S86" s="580"/>
      <c r="T86" s="52"/>
      <c r="U86" s="52"/>
      <c r="V86" s="52"/>
      <c r="W86" s="52"/>
      <c r="X86" s="52"/>
      <c r="Y86" s="52"/>
    </row>
    <row r="87" spans="1:25" s="53" customFormat="1" ht="16.5" customHeight="1" x14ac:dyDescent="0.25">
      <c r="A87" s="212">
        <v>41</v>
      </c>
      <c r="B87" s="97" t="s">
        <v>161</v>
      </c>
      <c r="C87" s="98"/>
      <c r="D87" s="134" t="s">
        <v>162</v>
      </c>
      <c r="E87" s="101" t="s">
        <v>89</v>
      </c>
      <c r="F87" s="101" t="s">
        <v>89</v>
      </c>
      <c r="G87" s="694">
        <f>'[1]FFIN2 Maio 2018'!$G$65</f>
        <v>4850000</v>
      </c>
      <c r="H87" s="213">
        <f t="shared" si="10"/>
        <v>4.7584986865252784E-3</v>
      </c>
      <c r="I87" s="702">
        <f>'[1]FFIN2 Maio 2018'!$I$65</f>
        <v>-8.1600000000000006E-2</v>
      </c>
      <c r="J87" s="214"/>
      <c r="K87" s="104"/>
      <c r="L87" s="105" t="s">
        <v>71</v>
      </c>
      <c r="M87" s="628">
        <f>'[1]FFIN2 Maio 2018'!$M$65</f>
        <v>234883607.43000001</v>
      </c>
      <c r="N87" s="135">
        <f>G87/M87</f>
        <v>2.0648524829240782E-2</v>
      </c>
      <c r="O87" s="799" t="s">
        <v>121</v>
      </c>
      <c r="P87" s="796">
        <f>SUM(G87:G88)/G93</f>
        <v>1.3492859246252249E-2</v>
      </c>
      <c r="Q87" s="790">
        <v>0.05</v>
      </c>
      <c r="R87" s="790">
        <v>0.03</v>
      </c>
      <c r="S87" s="793" t="s">
        <v>313</v>
      </c>
      <c r="T87" s="52"/>
      <c r="U87" s="52"/>
      <c r="V87" s="52"/>
      <c r="W87" s="52"/>
      <c r="X87" s="52"/>
      <c r="Y87" s="52"/>
    </row>
    <row r="88" spans="1:25" s="1" customFormat="1" ht="18.75" thickBot="1" x14ac:dyDescent="0.3">
      <c r="A88" s="8">
        <v>42</v>
      </c>
      <c r="B88" s="167" t="s">
        <v>122</v>
      </c>
      <c r="C88" s="108"/>
      <c r="D88" s="87" t="s">
        <v>123</v>
      </c>
      <c r="E88" s="168" t="s">
        <v>89</v>
      </c>
      <c r="F88" s="168" t="s">
        <v>89</v>
      </c>
      <c r="G88" s="693">
        <f>'[1]FFIN2 Maio 2018'!$G$66</f>
        <v>8902313.8399999999</v>
      </c>
      <c r="H88" s="215">
        <f t="shared" si="10"/>
        <v>8.7343605597269714E-3</v>
      </c>
      <c r="I88" s="157">
        <f>'[1]FFIN2 Maio 2018'!$I$66</f>
        <v>-4.7399999999999998E-2</v>
      </c>
      <c r="J88" s="138"/>
      <c r="K88" s="208"/>
      <c r="L88" s="159" t="s">
        <v>71</v>
      </c>
      <c r="M88" s="170">
        <f>'[1]FFIN2 Maio 2018'!$M$66</f>
        <v>139522726.03999999</v>
      </c>
      <c r="N88" s="624">
        <f>G88/M88</f>
        <v>6.3805475227367486E-2</v>
      </c>
      <c r="O88" s="801"/>
      <c r="P88" s="798"/>
      <c r="Q88" s="792"/>
      <c r="R88" s="792"/>
      <c r="S88" s="795"/>
      <c r="T88" s="64"/>
      <c r="U88" s="64"/>
      <c r="V88" s="63"/>
      <c r="W88" s="64"/>
      <c r="X88" s="63"/>
      <c r="Y88" s="65"/>
    </row>
    <row r="89" spans="1:25" s="1" customFormat="1" ht="12" customHeight="1" thickBot="1" x14ac:dyDescent="0.3">
      <c r="A89" s="185"/>
      <c r="B89" s="186" t="s">
        <v>131</v>
      </c>
      <c r="C89" s="41"/>
      <c r="D89" s="42"/>
      <c r="E89" s="232"/>
      <c r="F89" s="232"/>
      <c r="G89" s="592">
        <f>SUM(G90:G92)</f>
        <v>9811.86</v>
      </c>
      <c r="H89" s="233">
        <f t="shared" si="10"/>
        <v>9.6267469943030774E-6</v>
      </c>
      <c r="I89" s="234"/>
      <c r="J89" s="235"/>
      <c r="K89" s="235"/>
      <c r="L89" s="235"/>
      <c r="M89" s="236"/>
      <c r="N89" s="131"/>
      <c r="O89" s="237"/>
      <c r="P89" s="238">
        <f>SUM((G60+G63+G65+G75+G86)/G93)*100</f>
        <v>15.945302335780193</v>
      </c>
      <c r="Q89" s="239"/>
      <c r="R89" s="240">
        <f>SUM(P60+P89+P90+P91)/100</f>
        <v>0.98435544149177057</v>
      </c>
      <c r="S89" s="51"/>
      <c r="T89" s="216"/>
      <c r="U89" s="216"/>
      <c r="V89" s="216"/>
      <c r="W89" s="216"/>
      <c r="X89" s="216"/>
    </row>
    <row r="90" spans="1:25" s="1" customFormat="1" ht="18" x14ac:dyDescent="0.25">
      <c r="A90" s="185">
        <v>46</v>
      </c>
      <c r="B90" s="241" t="s">
        <v>132</v>
      </c>
      <c r="C90" s="242"/>
      <c r="D90" s="243"/>
      <c r="E90" s="244"/>
      <c r="F90" s="245"/>
      <c r="G90" s="705">
        <f>'[1]FFIN2 Maio 2018'!$G$68</f>
        <v>3744.12</v>
      </c>
      <c r="H90" s="199">
        <f t="shared" si="10"/>
        <v>3.6734824952975311E-6</v>
      </c>
      <c r="I90" s="142">
        <f>'[1]FFIN2 Maio 2018'!$I$68</f>
        <v>0</v>
      </c>
      <c r="J90" s="246"/>
      <c r="K90" s="247"/>
      <c r="L90" s="248"/>
      <c r="M90" s="249"/>
      <c r="N90" s="250"/>
      <c r="O90" s="803" t="s">
        <v>133</v>
      </c>
      <c r="P90" s="811">
        <f>SUM(G90:G92)/G93</f>
        <v>9.6267469943030774E-6</v>
      </c>
      <c r="Q90" s="574"/>
      <c r="R90" s="251"/>
      <c r="S90" s="245"/>
      <c r="T90" s="216"/>
      <c r="U90" s="216"/>
      <c r="V90" s="216"/>
      <c r="W90" s="216"/>
      <c r="X90" s="216"/>
    </row>
    <row r="91" spans="1:25" s="216" customFormat="1" ht="18.75" thickBot="1" x14ac:dyDescent="0.3">
      <c r="A91" s="8">
        <v>47</v>
      </c>
      <c r="B91" s="252" t="s">
        <v>134</v>
      </c>
      <c r="C91" s="253"/>
      <c r="D91" s="254"/>
      <c r="E91" s="255"/>
      <c r="F91" s="253"/>
      <c r="G91" s="665">
        <f>'[1]FFIN2 Maio 2018'!$G$69</f>
        <v>1304.1600000000001</v>
      </c>
      <c r="H91" s="256">
        <v>9.5999999999999992E-3</v>
      </c>
      <c r="I91" s="71">
        <f>'[1]FFIN2 Maio 2018'!$I$69</f>
        <v>0</v>
      </c>
      <c r="J91" s="257"/>
      <c r="K91" s="258"/>
      <c r="L91" s="259"/>
      <c r="M91" s="260"/>
      <c r="N91" s="261"/>
      <c r="O91" s="804"/>
      <c r="P91" s="812"/>
      <c r="Q91" s="253"/>
      <c r="R91" s="262"/>
      <c r="S91" s="255"/>
      <c r="T91" s="263"/>
      <c r="V91" s="264"/>
      <c r="Y91" s="1"/>
    </row>
    <row r="92" spans="1:25" s="216" customFormat="1" ht="18" x14ac:dyDescent="0.25">
      <c r="A92" s="8"/>
      <c r="B92" s="401" t="s">
        <v>334</v>
      </c>
      <c r="C92" s="242"/>
      <c r="D92" s="254"/>
      <c r="E92" s="402"/>
      <c r="F92" s="255"/>
      <c r="G92" s="665">
        <f>'[2]FFPREV Maio 2018'!$G$49</f>
        <v>4763.58</v>
      </c>
      <c r="H92" s="70">
        <f>G92/$G$87</f>
        <v>9.8218144329896909E-4</v>
      </c>
      <c r="I92" s="71">
        <f>'[2]FFPREV Maio 2018'!$I$49</f>
        <v>0</v>
      </c>
      <c r="J92" s="394"/>
      <c r="K92" s="395"/>
      <c r="L92" s="396"/>
      <c r="M92" s="397"/>
      <c r="N92" s="398"/>
      <c r="O92" s="576"/>
      <c r="P92" s="812"/>
      <c r="Q92" s="575"/>
      <c r="R92" s="399"/>
      <c r="S92" s="400"/>
      <c r="T92" s="263"/>
      <c r="V92" s="264"/>
      <c r="Y92" s="1"/>
    </row>
    <row r="93" spans="1:25" s="216" customFormat="1" ht="18.75" thickBot="1" x14ac:dyDescent="0.3">
      <c r="A93" s="8"/>
      <c r="B93" s="265" t="s">
        <v>135</v>
      </c>
      <c r="C93" s="266"/>
      <c r="D93" s="267"/>
      <c r="E93" s="268"/>
      <c r="F93" s="268"/>
      <c r="G93" s="594">
        <f>G4+G15+G29+G30+G31+G39+G40+G50+G51+G52+G53+G54+G58+G59+G60+G63+G65+G74+G75+G80+G86+G89</f>
        <v>1019229029.8900002</v>
      </c>
      <c r="H93" s="269">
        <f>G93/$G$93</f>
        <v>1</v>
      </c>
      <c r="I93" s="270"/>
      <c r="J93" s="271"/>
      <c r="K93" s="272"/>
      <c r="L93" s="273"/>
      <c r="M93" s="274"/>
      <c r="N93" s="275"/>
      <c r="O93" s="577"/>
      <c r="P93" s="579" t="e">
        <f>SUM(P5+P16+#REF!+P55+P56+P61+P64+P66+P76+P81+P87+P90+P91)</f>
        <v>#REF!</v>
      </c>
      <c r="Q93" s="578"/>
      <c r="R93" s="276"/>
      <c r="S93" s="277"/>
      <c r="T93" s="263"/>
      <c r="V93" s="264"/>
      <c r="Y93" s="1"/>
    </row>
    <row r="94" spans="1:25" s="216" customFormat="1" x14ac:dyDescent="0.25">
      <c r="A94" s="1"/>
      <c r="B94" s="278" t="str">
        <f>'[1]FFIN2 Maio 2018'!$B$71</f>
        <v>Meta Atuarial(INPC 0,43 + 0,486755)</v>
      </c>
      <c r="C94" s="278"/>
      <c r="D94" s="279"/>
      <c r="E94" s="279">
        <f>'[1]FFIN2 Maio 2018'!$E$71</f>
        <v>9.1999999999999998E-3</v>
      </c>
      <c r="F94" s="279"/>
      <c r="G94" s="278" t="s">
        <v>136</v>
      </c>
      <c r="H94" s="280">
        <f>'[1]FFIN2 Maio 2018'!$H$71</f>
        <v>-0.1087</v>
      </c>
      <c r="I94" s="281"/>
      <c r="J94" s="278" t="s">
        <v>137</v>
      </c>
      <c r="K94" s="280">
        <f>'[1]FFIN2 Maio 2018'!$K$71</f>
        <v>-5.2699999999999997E-2</v>
      </c>
      <c r="L94" s="281"/>
      <c r="M94" s="282" t="s">
        <v>138</v>
      </c>
      <c r="N94" s="280">
        <f>'[1]FFIN2 Maio 2018'!$N$71</f>
        <v>-1.8533000000000001E-2</v>
      </c>
      <c r="O94" s="1"/>
      <c r="P94" s="280" t="s">
        <v>317</v>
      </c>
      <c r="Q94" s="1"/>
      <c r="R94" s="280"/>
      <c r="S94" s="283">
        <v>2.4400000000000002E-2</v>
      </c>
      <c r="Y94" s="1"/>
    </row>
    <row r="95" spans="1:25" s="216" customFormat="1" x14ac:dyDescent="0.25">
      <c r="A95" s="1"/>
      <c r="B95" s="278" t="s">
        <v>335</v>
      </c>
      <c r="C95" s="284"/>
      <c r="D95" s="278"/>
      <c r="E95" s="718">
        <v>-2.5999999999999999E-2</v>
      </c>
      <c r="F95" s="280"/>
      <c r="G95" s="278" t="s">
        <v>140</v>
      </c>
      <c r="H95" s="280">
        <f>'[1]FFIN2 Maio 2018'!$H$72</f>
        <v>-0.1091</v>
      </c>
      <c r="I95" s="278"/>
      <c r="J95" s="278" t="s">
        <v>141</v>
      </c>
      <c r="K95" s="280">
        <f>'[1]FFIN2 Maio 2018'!$K$72</f>
        <v>-3.1569E-2</v>
      </c>
      <c r="L95" s="280"/>
      <c r="M95" s="282" t="s">
        <v>142</v>
      </c>
      <c r="N95" s="280">
        <f>'[1]FFIN2 Maio 2018'!$N$72</f>
        <v>1.9810000000000001E-3</v>
      </c>
      <c r="O95" s="1"/>
      <c r="P95" s="286" t="s">
        <v>143</v>
      </c>
      <c r="Q95" s="1"/>
      <c r="R95" s="1"/>
      <c r="S95" s="283">
        <v>3.56E-2</v>
      </c>
      <c r="Y95" s="1"/>
    </row>
    <row r="96" spans="1:25" s="216" customFormat="1" x14ac:dyDescent="0.25">
      <c r="A96" s="1"/>
      <c r="B96" s="278" t="s">
        <v>144</v>
      </c>
      <c r="C96" s="1"/>
      <c r="D96" s="280"/>
      <c r="E96" s="280">
        <f>'[1]FFIN2 Maio 2018'!$E$73</f>
        <v>4.3E-3</v>
      </c>
      <c r="F96" s="280"/>
      <c r="G96" s="278" t="s">
        <v>145</v>
      </c>
      <c r="H96" s="280">
        <f>'[1]FFIN2 Maio 2018'!$H$73</f>
        <v>-0.10879999999999999</v>
      </c>
      <c r="I96" s="278"/>
      <c r="J96" s="278" t="s">
        <v>146</v>
      </c>
      <c r="K96" s="280">
        <f>'[1]FFIN2 Maio 2018'!$K$73</f>
        <v>-1.4263E-2</v>
      </c>
      <c r="L96" s="280"/>
      <c r="M96" s="282" t="s">
        <v>147</v>
      </c>
      <c r="N96" s="280">
        <f>'[1]FFIN2 Maio 2018'!$N$73</f>
        <v>-2.623E-2</v>
      </c>
      <c r="O96" s="280"/>
      <c r="P96" s="286" t="s">
        <v>318</v>
      </c>
      <c r="Q96" s="1"/>
      <c r="R96" s="1"/>
      <c r="S96" s="283">
        <v>0.12330000000000001</v>
      </c>
      <c r="T96" s="287"/>
      <c r="Y96" s="1"/>
    </row>
    <row r="97" spans="1:25" s="216" customFormat="1" x14ac:dyDescent="0.25">
      <c r="A97" s="1"/>
      <c r="B97" s="278" t="s">
        <v>118</v>
      </c>
      <c r="C97" s="280"/>
      <c r="D97" s="280"/>
      <c r="E97" s="288">
        <f>'[1]FFIN2 Maio 2018'!$E$74</f>
        <v>5.1999999999999998E-3</v>
      </c>
      <c r="F97" s="288"/>
      <c r="G97" s="278" t="s">
        <v>148</v>
      </c>
      <c r="H97" s="280">
        <f>'[1]FFIN2 Maio 2018'!$H$74</f>
        <v>-0.11310000000000001</v>
      </c>
      <c r="I97" s="278"/>
      <c r="J97" s="278" t="s">
        <v>149</v>
      </c>
      <c r="K97" s="280">
        <f>'[1]FFIN2 Maio 2018'!$K$74</f>
        <v>-1.5573E-2</v>
      </c>
      <c r="L97" s="280"/>
      <c r="M97" s="282" t="s">
        <v>150</v>
      </c>
      <c r="N97" s="280">
        <f>'[1]FFIN2 Maio 2018'!$N$74</f>
        <v>-4.6569999999999997E-3</v>
      </c>
      <c r="O97" s="280"/>
      <c r="P97" s="286" t="s">
        <v>151</v>
      </c>
      <c r="Q97" s="1"/>
      <c r="R97" s="1"/>
      <c r="S97" s="283">
        <v>7.8299999999999995E-2</v>
      </c>
      <c r="Y97" s="1"/>
    </row>
    <row r="98" spans="1:25" s="216" customFormat="1" x14ac:dyDescent="0.25">
      <c r="A98" s="1"/>
      <c r="B98" s="278" t="s">
        <v>80</v>
      </c>
      <c r="C98" s="1"/>
      <c r="D98" s="280"/>
      <c r="E98" s="288">
        <f>'[1]FFIN2 Maio 2018'!$E$75</f>
        <v>4.0000000000000001E-3</v>
      </c>
      <c r="F98" s="288"/>
      <c r="G98" s="278" t="s">
        <v>112</v>
      </c>
      <c r="H98" s="280">
        <f>'[1]FFIN2 Maio 2018'!$H$75</f>
        <v>-0.1053</v>
      </c>
      <c r="I98" s="1"/>
      <c r="J98" s="278" t="s">
        <v>152</v>
      </c>
      <c r="K98" s="280">
        <f>'[1]FFIN2 Maio 2018'!$K$75</f>
        <v>-4.6530000000000002E-2</v>
      </c>
      <c r="L98" s="1"/>
      <c r="M98" s="282" t="s">
        <v>153</v>
      </c>
      <c r="N98" s="280">
        <f>'[1]FFIN2 Maio 2018'!$N$75</f>
        <v>5.0229999999999997E-3</v>
      </c>
      <c r="O98" s="280"/>
      <c r="P98" s="286"/>
      <c r="Q98" s="1"/>
      <c r="R98" s="1"/>
      <c r="S98" s="289">
        <f>'[2]FFPREV Maio 2018'!$G$50</f>
        <v>252557926.67000005</v>
      </c>
      <c r="T98" s="290"/>
      <c r="Y98" s="1"/>
    </row>
    <row r="99" spans="1:25" s="216" customFormat="1" x14ac:dyDescent="0.25">
      <c r="A99" s="1"/>
      <c r="B99" s="1"/>
      <c r="C99" s="1"/>
      <c r="D99" s="1"/>
      <c r="E99" s="1"/>
      <c r="F99" s="1"/>
      <c r="G99" s="278"/>
      <c r="H99" s="280" t="s">
        <v>154</v>
      </c>
      <c r="I99" s="1"/>
      <c r="J99" s="278"/>
      <c r="K99" s="280"/>
      <c r="L99" s="1"/>
      <c r="M99" s="282"/>
      <c r="N99" s="291"/>
      <c r="O99" s="280"/>
      <c r="P99" s="1"/>
      <c r="Q99" s="1"/>
      <c r="R99" s="1"/>
      <c r="S99" s="292">
        <f>'[1]FFIN2 Maio 2018'!$G$70</f>
        <v>766671103.22000003</v>
      </c>
      <c r="Y99" s="1"/>
    </row>
    <row r="100" spans="1:25" s="1" customFormat="1" x14ac:dyDescent="0.25">
      <c r="D100" t="s">
        <v>155</v>
      </c>
      <c r="G100" s="293">
        <f>S100</f>
        <v>1019229029.8900001</v>
      </c>
      <c r="H100" s="280"/>
      <c r="J100" s="278"/>
      <c r="K100" s="280"/>
      <c r="M100" s="294"/>
      <c r="N100" s="291"/>
      <c r="O100" s="280"/>
      <c r="S100" s="295">
        <f>S98+S99</f>
        <v>1019229029.8900001</v>
      </c>
      <c r="T100" s="216"/>
      <c r="U100" s="216"/>
      <c r="V100" s="216"/>
      <c r="W100" s="216"/>
      <c r="X100" s="216"/>
    </row>
    <row r="101" spans="1:25" s="7" customFormat="1" x14ac:dyDescent="0.25">
      <c r="A101"/>
      <c r="B101"/>
      <c r="C101"/>
      <c r="D101"/>
      <c r="E101"/>
      <c r="F101"/>
      <c r="G101" s="296"/>
      <c r="H101" s="280"/>
      <c r="I101" s="1"/>
      <c r="J101" s="278"/>
      <c r="K101" s="280"/>
      <c r="L101" s="1"/>
      <c r="M101" s="294"/>
      <c r="N101" s="291"/>
      <c r="O101"/>
      <c r="P101"/>
      <c r="Q101"/>
      <c r="R101"/>
      <c r="S101" s="295"/>
      <c r="Y101"/>
    </row>
    <row r="102" spans="1:25" s="7" customFormat="1" x14ac:dyDescent="0.25">
      <c r="A102"/>
      <c r="B102" s="278"/>
      <c r="C102" s="278"/>
      <c r="D102" s="278"/>
      <c r="E102" s="279"/>
      <c r="F102" s="279"/>
      <c r="G102" s="296"/>
      <c r="H102" s="291"/>
      <c r="I102" s="1"/>
      <c r="J102" s="1"/>
      <c r="K102" s="1"/>
      <c r="L102" s="1"/>
      <c r="M102" s="294"/>
      <c r="N102" s="291"/>
      <c r="O102"/>
      <c r="P102"/>
      <c r="Q102"/>
      <c r="R102"/>
      <c r="S102"/>
      <c r="Y102"/>
    </row>
    <row r="103" spans="1:25" s="7" customFormat="1" x14ac:dyDescent="0.25">
      <c r="A103"/>
      <c r="B103" s="278"/>
      <c r="C103" s="278"/>
      <c r="D103" s="278"/>
      <c r="E103" s="280"/>
      <c r="F103" s="280"/>
      <c r="G103" s="301"/>
      <c r="H103" s="291"/>
      <c r="I103" s="1"/>
      <c r="J103" s="1"/>
      <c r="K103" s="1"/>
      <c r="L103" s="1"/>
      <c r="M103" s="294"/>
      <c r="N103" s="291"/>
      <c r="O103"/>
      <c r="P103"/>
      <c r="Q103"/>
      <c r="R103"/>
      <c r="S103"/>
      <c r="Y103"/>
    </row>
    <row r="104" spans="1:25" s="7" customFormat="1" x14ac:dyDescent="0.25">
      <c r="A104"/>
      <c r="B104" s="278"/>
      <c r="C104" s="1"/>
      <c r="D104" s="280"/>
      <c r="E104" s="280"/>
      <c r="F104" s="280"/>
      <c r="G104" s="296"/>
      <c r="H104" s="291"/>
      <c r="I104" s="1"/>
      <c r="J104" s="1"/>
      <c r="K104" s="1"/>
      <c r="L104" s="1"/>
      <c r="M104" s="294"/>
      <c r="N104" s="291"/>
      <c r="O104"/>
      <c r="P104"/>
      <c r="Q104"/>
      <c r="R104"/>
      <c r="S104"/>
      <c r="Y104"/>
    </row>
    <row r="105" spans="1:25" s="7" customFormat="1" x14ac:dyDescent="0.25">
      <c r="A105"/>
      <c r="B105" s="278"/>
      <c r="C105" s="280"/>
      <c r="D105" s="280"/>
      <c r="E105" s="286"/>
      <c r="F105" s="286"/>
      <c r="G105" s="296"/>
      <c r="H105" s="291"/>
      <c r="I105" s="1"/>
      <c r="J105" s="1"/>
      <c r="K105" s="1"/>
      <c r="L105" s="1"/>
      <c r="M105" s="294" t="s">
        <v>156</v>
      </c>
      <c r="N105" s="291"/>
      <c r="O105"/>
      <c r="P105"/>
      <c r="Q105"/>
      <c r="R105"/>
      <c r="S105"/>
      <c r="Y105"/>
    </row>
    <row r="106" spans="1:25" s="7" customFormat="1" x14ac:dyDescent="0.25">
      <c r="A106"/>
      <c r="B106" s="278" t="s">
        <v>60</v>
      </c>
      <c r="C106" s="1"/>
      <c r="D106" s="280" t="s">
        <v>157</v>
      </c>
      <c r="E106" s="717">
        <v>-2.01E-2</v>
      </c>
      <c r="F106" s="1"/>
      <c r="G106" s="296">
        <f>G4+G15+G29+G30+G31+G39+G40+G50+G51+G52+G53+G54+G58+G59</f>
        <v>840764393.2700001</v>
      </c>
      <c r="H106" s="291">
        <f>G106/G109</f>
        <v>0.8249023218664987</v>
      </c>
      <c r="I106" s="1"/>
      <c r="J106" s="1" t="s">
        <v>60</v>
      </c>
      <c r="K106" s="1"/>
      <c r="L106" s="1"/>
      <c r="M106" s="629">
        <f>G120</f>
        <v>840764393.2700001</v>
      </c>
      <c r="N106" s="291">
        <f>M106/M109</f>
        <v>0.8249023218664987</v>
      </c>
      <c r="O106"/>
      <c r="P106"/>
      <c r="Q106"/>
      <c r="R106"/>
      <c r="S106"/>
      <c r="Y106"/>
    </row>
    <row r="107" spans="1:25" s="7" customFormat="1" x14ac:dyDescent="0.25">
      <c r="A107"/>
      <c r="B107" t="s">
        <v>96</v>
      </c>
      <c r="C107"/>
      <c r="D107" s="280" t="s">
        <v>157</v>
      </c>
      <c r="E107" s="717">
        <v>-5.28E-2</v>
      </c>
      <c r="F107"/>
      <c r="G107" s="296">
        <f>G60+G63+G65+G74+G75+G80+G86</f>
        <v>178454824.75999999</v>
      </c>
      <c r="H107" s="291">
        <f>G107/G109</f>
        <v>0.17508805138650696</v>
      </c>
      <c r="I107" s="1"/>
      <c r="J107" s="1" t="s">
        <v>96</v>
      </c>
      <c r="K107" s="1"/>
      <c r="L107" s="1"/>
      <c r="M107" s="629">
        <f>G135</f>
        <v>178454824.75999999</v>
      </c>
      <c r="N107" s="291">
        <f>M107/M109</f>
        <v>0.17508805138650696</v>
      </c>
      <c r="O107"/>
      <c r="P107"/>
      <c r="Q107"/>
      <c r="R107"/>
      <c r="S107"/>
      <c r="Y107"/>
    </row>
    <row r="108" spans="1:25" s="7" customFormat="1" x14ac:dyDescent="0.25">
      <c r="A108"/>
      <c r="B108" t="s">
        <v>158</v>
      </c>
      <c r="C108"/>
      <c r="D108"/>
      <c r="E108" s="304"/>
      <c r="F108"/>
      <c r="G108" s="296">
        <f>G89</f>
        <v>9811.86</v>
      </c>
      <c r="H108" s="291">
        <f>G108/G109</f>
        <v>9.6267469943030774E-6</v>
      </c>
      <c r="I108" s="1"/>
      <c r="J108" s="1" t="s">
        <v>159</v>
      </c>
      <c r="K108" s="1"/>
      <c r="L108" s="1"/>
      <c r="M108" s="629">
        <f>G143</f>
        <v>9811.86</v>
      </c>
      <c r="N108" s="291">
        <f>M108/M109</f>
        <v>9.6267469943030774E-6</v>
      </c>
      <c r="O108"/>
      <c r="P108"/>
      <c r="Q108"/>
      <c r="R108"/>
      <c r="S108"/>
      <c r="Y108"/>
    </row>
    <row r="109" spans="1:25" s="7" customFormat="1" x14ac:dyDescent="0.25">
      <c r="A109"/>
      <c r="B109"/>
      <c r="C109"/>
      <c r="D109"/>
      <c r="E109" s="717">
        <v>-2.5999999999999999E-2</v>
      </c>
      <c r="F109"/>
      <c r="G109" s="296">
        <f>G106+G107+G108</f>
        <v>1019229029.8900001</v>
      </c>
      <c r="H109" s="291">
        <f>SUM(H106:H108)</f>
        <v>1</v>
      </c>
      <c r="I109" s="1"/>
      <c r="J109" s="216" t="s">
        <v>160</v>
      </c>
      <c r="K109" s="216"/>
      <c r="L109" s="216"/>
      <c r="M109" s="629">
        <f>M106+M107+M108</f>
        <v>1019229029.8900001</v>
      </c>
      <c r="N109" s="291">
        <f>N106+N107+N108</f>
        <v>1</v>
      </c>
      <c r="O109"/>
      <c r="P109"/>
      <c r="Q109"/>
      <c r="R109"/>
      <c r="S109"/>
      <c r="Y109"/>
    </row>
    <row r="110" spans="1:25" s="7" customFormat="1" x14ac:dyDescent="0.25">
      <c r="A110"/>
      <c r="B110"/>
      <c r="C110"/>
      <c r="D110"/>
      <c r="E110" s="305"/>
      <c r="F110"/>
      <c r="G110" s="1"/>
      <c r="H110" s="291"/>
      <c r="I110" s="1"/>
      <c r="J110" s="1"/>
      <c r="K110" s="1"/>
      <c r="L110" s="1"/>
      <c r="M110" s="294"/>
      <c r="N110" s="291"/>
      <c r="O110"/>
      <c r="P110"/>
      <c r="Q110"/>
      <c r="R110"/>
      <c r="S110"/>
      <c r="Y110"/>
    </row>
    <row r="111" spans="1:25" s="7" customFormat="1" x14ac:dyDescent="0.25">
      <c r="A111"/>
      <c r="B111"/>
      <c r="C111"/>
      <c r="D111"/>
      <c r="E111"/>
      <c r="F111"/>
      <c r="G111" s="1"/>
      <c r="H111" s="291"/>
      <c r="I111" s="1"/>
      <c r="J111" s="1"/>
      <c r="K111" s="1"/>
      <c r="L111" s="1"/>
      <c r="M111" s="294"/>
      <c r="N111" s="291"/>
      <c r="O111"/>
      <c r="P111"/>
      <c r="Q111"/>
      <c r="R111"/>
      <c r="S111"/>
      <c r="Y111"/>
    </row>
    <row r="112" spans="1:25" s="7" customFormat="1" x14ac:dyDescent="0.25">
      <c r="A112"/>
      <c r="B112"/>
      <c r="C112"/>
      <c r="D112"/>
      <c r="E112"/>
      <c r="F112"/>
      <c r="G112" s="1"/>
      <c r="H112" s="291"/>
      <c r="I112" s="1"/>
      <c r="J112" s="1"/>
      <c r="K112" s="1"/>
      <c r="L112" s="1"/>
      <c r="M112" s="294"/>
      <c r="N112" s="291"/>
      <c r="O112"/>
      <c r="P112"/>
      <c r="Q112"/>
      <c r="R112"/>
      <c r="S112"/>
      <c r="Y112"/>
    </row>
    <row r="113" spans="1:25" x14ac:dyDescent="0.25">
      <c r="A113" s="545"/>
      <c r="B113" s="545"/>
      <c r="C113" s="545"/>
      <c r="D113" s="546"/>
      <c r="E113" s="545"/>
      <c r="F113" s="545"/>
      <c r="G113" s="547"/>
      <c r="H113" s="548"/>
      <c r="I113" s="545"/>
      <c r="J113" s="286"/>
      <c r="K113" s="548"/>
      <c r="L113" s="545"/>
      <c r="M113" s="545"/>
      <c r="N113" s="545"/>
      <c r="O113" s="548"/>
      <c r="P113" s="549"/>
      <c r="Q113" s="545"/>
      <c r="R113" s="545"/>
      <c r="S113" s="550"/>
      <c r="T113" s="550"/>
    </row>
    <row r="114" spans="1:25" s="7" customFormat="1" x14ac:dyDescent="0.25">
      <c r="A114" s="545"/>
      <c r="B114" s="545"/>
      <c r="C114" s="545"/>
      <c r="D114" s="286" t="s">
        <v>167</v>
      </c>
      <c r="E114" s="551"/>
      <c r="F114" s="545"/>
      <c r="G114" s="598">
        <f>G120</f>
        <v>840764393.2700001</v>
      </c>
      <c r="H114" s="596">
        <f>G114/G117</f>
        <v>0.8249023218664987</v>
      </c>
      <c r="I114" s="545"/>
      <c r="J114" s="286"/>
      <c r="K114" s="548"/>
      <c r="L114" s="545"/>
      <c r="M114" s="545"/>
      <c r="N114" s="545"/>
      <c r="O114" s="548"/>
      <c r="P114" s="549"/>
      <c r="Q114" s="545"/>
      <c r="R114" s="545"/>
      <c r="S114" s="552"/>
      <c r="T114" s="552"/>
      <c r="Y114"/>
    </row>
    <row r="115" spans="1:25" s="7" customFormat="1" x14ac:dyDescent="0.25">
      <c r="A115" s="545" t="s">
        <v>246</v>
      </c>
      <c r="B115" s="545" t="s">
        <v>247</v>
      </c>
      <c r="C115" s="545"/>
      <c r="D115" s="286" t="s">
        <v>248</v>
      </c>
      <c r="E115" s="551"/>
      <c r="F115" s="545"/>
      <c r="G115" s="598">
        <f>G135</f>
        <v>178454824.75999999</v>
      </c>
      <c r="H115" s="596">
        <f>G115/G117</f>
        <v>0.17508805138650696</v>
      </c>
      <c r="I115" s="545"/>
      <c r="J115" s="286"/>
      <c r="K115" s="548"/>
      <c r="L115" s="545"/>
      <c r="M115" s="545"/>
      <c r="N115" s="545"/>
      <c r="O115" s="548"/>
      <c r="P115" s="549"/>
      <c r="Q115" s="545"/>
      <c r="R115" s="545"/>
      <c r="S115" s="552"/>
      <c r="T115" s="552"/>
      <c r="Y115"/>
    </row>
    <row r="116" spans="1:25" s="7" customFormat="1" x14ac:dyDescent="0.25">
      <c r="A116" s="545">
        <v>2011</v>
      </c>
      <c r="B116" s="553" t="s">
        <v>249</v>
      </c>
      <c r="C116" s="545"/>
      <c r="D116" s="286"/>
      <c r="E116" s="551"/>
      <c r="F116" s="545"/>
      <c r="G116" s="598">
        <f>G143</f>
        <v>9811.86</v>
      </c>
      <c r="H116" s="596">
        <f>G116/G117</f>
        <v>9.6267469943030774E-6</v>
      </c>
      <c r="I116" s="545"/>
      <c r="J116" s="286"/>
      <c r="K116" s="548"/>
      <c r="L116" s="545"/>
      <c r="M116" s="545"/>
      <c r="N116" s="545"/>
      <c r="O116" s="548"/>
      <c r="P116" s="549"/>
      <c r="Q116" s="545"/>
      <c r="R116" s="545"/>
      <c r="S116" s="552"/>
      <c r="T116" s="552"/>
      <c r="Y116"/>
    </row>
    <row r="117" spans="1:25" s="7" customFormat="1" x14ac:dyDescent="0.25">
      <c r="A117" s="545">
        <v>2012</v>
      </c>
      <c r="B117" s="553" t="s">
        <v>250</v>
      </c>
      <c r="C117" s="545">
        <v>22.41</v>
      </c>
      <c r="D117" s="286"/>
      <c r="E117" s="551"/>
      <c r="F117" s="545"/>
      <c r="G117" s="600">
        <f>G114+G115+G116</f>
        <v>1019229029.8900001</v>
      </c>
      <c r="H117" s="596">
        <f>SUM(H114:H116)</f>
        <v>1</v>
      </c>
      <c r="I117" s="545"/>
      <c r="J117" s="286"/>
      <c r="K117" s="548"/>
      <c r="L117" s="545"/>
      <c r="M117" s="545"/>
      <c r="N117" s="545"/>
      <c r="O117" s="548"/>
      <c r="P117" s="549"/>
      <c r="Q117" s="545"/>
      <c r="R117" s="545"/>
      <c r="S117" s="552"/>
      <c r="T117" s="552"/>
      <c r="Y117"/>
    </row>
    <row r="118" spans="1:25" s="7" customFormat="1" x14ac:dyDescent="0.25">
      <c r="A118" s="545">
        <v>2013</v>
      </c>
      <c r="B118" s="545" t="s">
        <v>251</v>
      </c>
      <c r="C118" s="545"/>
      <c r="D118" s="546"/>
      <c r="E118" s="545"/>
      <c r="F118" s="545"/>
      <c r="G118" s="293"/>
      <c r="H118" s="596"/>
      <c r="I118" s="545"/>
      <c r="J118" s="286"/>
      <c r="K118" s="548"/>
      <c r="L118" s="545"/>
      <c r="M118" s="545"/>
      <c r="N118" s="545"/>
      <c r="O118" s="548"/>
      <c r="P118" s="549"/>
      <c r="Q118" s="545"/>
      <c r="R118" s="545"/>
      <c r="S118" s="552"/>
      <c r="T118" s="552"/>
      <c r="Y118"/>
    </row>
    <row r="119" spans="1:25" s="7" customFormat="1" ht="18.75" x14ac:dyDescent="0.3">
      <c r="A119" s="545">
        <v>2014</v>
      </c>
      <c r="B119" s="545" t="s">
        <v>252</v>
      </c>
      <c r="C119" s="546"/>
      <c r="D119" s="566" t="s">
        <v>337</v>
      </c>
      <c r="E119" s="566"/>
      <c r="F119" s="566"/>
      <c r="G119" s="630">
        <f>G120+G135+G143</f>
        <v>1019229029.8900001</v>
      </c>
      <c r="H119" s="596">
        <f t="shared" ref="H119:H143" si="11">G119/$G$117</f>
        <v>1</v>
      </c>
      <c r="I119" s="545"/>
      <c r="J119" s="545"/>
      <c r="K119" s="1"/>
      <c r="L119" s="1"/>
      <c r="M119" s="545"/>
      <c r="N119" s="545"/>
      <c r="O119" s="546"/>
      <c r="P119" s="556"/>
      <c r="Q119" s="546"/>
      <c r="R119" s="546"/>
      <c r="S119" s="552"/>
      <c r="T119" s="552"/>
      <c r="Y119"/>
    </row>
    <row r="120" spans="1:25" s="7" customFormat="1" x14ac:dyDescent="0.25">
      <c r="A120" s="545">
        <v>2015</v>
      </c>
      <c r="B120" s="557" t="s">
        <v>255</v>
      </c>
      <c r="C120" s="286"/>
      <c r="D120" s="558" t="s">
        <v>235</v>
      </c>
      <c r="E120" s="559"/>
      <c r="F120" s="559"/>
      <c r="G120" s="630">
        <f>SUM(G121:G134)</f>
        <v>840764393.2700001</v>
      </c>
      <c r="H120" s="597">
        <f t="shared" si="11"/>
        <v>0.8249023218664987</v>
      </c>
      <c r="I120" s="548" t="s">
        <v>253</v>
      </c>
      <c r="J120" s="631" t="s">
        <v>254</v>
      </c>
      <c r="K120" s="1"/>
      <c r="L120" s="1"/>
      <c r="M120" s="545"/>
      <c r="N120" s="545"/>
      <c r="O120" s="546"/>
      <c r="P120" s="556"/>
      <c r="Q120" s="546"/>
      <c r="R120" s="546"/>
      <c r="S120" s="546"/>
      <c r="T120" s="546"/>
      <c r="Y120"/>
    </row>
    <row r="121" spans="1:25" s="7" customFormat="1" x14ac:dyDescent="0.25">
      <c r="A121" s="545">
        <v>2016</v>
      </c>
      <c r="B121" s="557" t="s">
        <v>256</v>
      </c>
      <c r="C121" s="286"/>
      <c r="D121" s="560" t="s">
        <v>315</v>
      </c>
      <c r="E121" s="545"/>
      <c r="F121" s="545"/>
      <c r="G121" s="598">
        <f>G4</f>
        <v>158990505.19</v>
      </c>
      <c r="H121" s="597">
        <f t="shared" si="11"/>
        <v>0.15599095053950629</v>
      </c>
      <c r="I121" s="549">
        <v>1</v>
      </c>
      <c r="J121" s="549">
        <v>0.4</v>
      </c>
      <c r="K121" s="1"/>
      <c r="L121" s="1"/>
      <c r="M121" s="545"/>
      <c r="N121" s="545"/>
      <c r="O121" s="546"/>
      <c r="P121" s="556"/>
      <c r="Q121" s="546"/>
      <c r="R121" s="546"/>
      <c r="S121" s="546"/>
      <c r="T121" s="546"/>
      <c r="Y121"/>
    </row>
    <row r="122" spans="1:25" s="7" customFormat="1" x14ac:dyDescent="0.25">
      <c r="A122" s="546">
        <v>2017</v>
      </c>
      <c r="B122" s="557" t="s">
        <v>314</v>
      </c>
      <c r="C122" s="286"/>
      <c r="D122" s="560" t="s">
        <v>276</v>
      </c>
      <c r="E122" s="545"/>
      <c r="F122" s="545"/>
      <c r="G122" s="598">
        <f>G15</f>
        <v>403902861.95000005</v>
      </c>
      <c r="H122" s="597">
        <f t="shared" si="11"/>
        <v>0.39628272949956211</v>
      </c>
      <c r="I122" s="549">
        <v>1</v>
      </c>
      <c r="J122" s="549">
        <v>0.5</v>
      </c>
      <c r="K122" s="1"/>
      <c r="L122" s="1"/>
      <c r="M122" s="545"/>
      <c r="N122" s="545"/>
      <c r="O122" s="546"/>
      <c r="P122" s="556"/>
      <c r="Q122" s="546"/>
      <c r="R122" s="546"/>
      <c r="S122" s="546"/>
      <c r="T122" s="546"/>
      <c r="Y122"/>
    </row>
    <row r="123" spans="1:25" s="7" customFormat="1" x14ac:dyDescent="0.25">
      <c r="A123" s="546"/>
      <c r="B123" s="286"/>
      <c r="C123" s="286"/>
      <c r="D123" s="560" t="s">
        <v>277</v>
      </c>
      <c r="E123" s="545"/>
      <c r="F123" s="545"/>
      <c r="G123" s="598">
        <f>G29</f>
        <v>0</v>
      </c>
      <c r="H123" s="597">
        <f t="shared" si="11"/>
        <v>0</v>
      </c>
      <c r="I123" s="549">
        <v>1</v>
      </c>
      <c r="J123" s="549">
        <v>0</v>
      </c>
      <c r="K123" s="1"/>
      <c r="L123" s="1"/>
      <c r="M123" s="545"/>
      <c r="N123" s="545"/>
      <c r="O123" s="546"/>
      <c r="P123" s="556"/>
      <c r="Q123" s="546"/>
      <c r="R123" s="546"/>
      <c r="S123" s="546"/>
      <c r="T123" s="546"/>
      <c r="Y123"/>
    </row>
    <row r="124" spans="1:25" s="7" customFormat="1" x14ac:dyDescent="0.25">
      <c r="A124" s="546"/>
      <c r="B124" s="286"/>
      <c r="C124" s="286"/>
      <c r="D124" s="561" t="s">
        <v>278</v>
      </c>
      <c r="E124" s="548"/>
      <c r="F124" s="548"/>
      <c r="G124" s="598">
        <f>G30</f>
        <v>0</v>
      </c>
      <c r="H124" s="597">
        <f t="shared" si="11"/>
        <v>0</v>
      </c>
      <c r="I124" s="549">
        <v>0.05</v>
      </c>
      <c r="J124" s="549">
        <v>0</v>
      </c>
      <c r="K124" s="1"/>
      <c r="L124" s="1"/>
      <c r="M124" s="545"/>
      <c r="N124" s="545"/>
      <c r="O124" s="546"/>
      <c r="P124" s="556"/>
      <c r="Q124" s="546"/>
      <c r="R124" s="546"/>
      <c r="S124" s="546"/>
      <c r="T124" s="546"/>
      <c r="Y124"/>
    </row>
    <row r="125" spans="1:25" s="7" customFormat="1" x14ac:dyDescent="0.25">
      <c r="A125" s="546"/>
      <c r="B125" s="286"/>
      <c r="C125" s="286"/>
      <c r="D125" s="561" t="s">
        <v>279</v>
      </c>
      <c r="E125" s="548"/>
      <c r="F125" s="548"/>
      <c r="G125" s="598">
        <f>G31</f>
        <v>196680528.64000002</v>
      </c>
      <c r="H125" s="597">
        <f t="shared" si="11"/>
        <v>0.19296990457701807</v>
      </c>
      <c r="I125" s="549">
        <v>0.6</v>
      </c>
      <c r="J125" s="549">
        <v>0.35</v>
      </c>
      <c r="K125" s="1"/>
      <c r="L125" s="1"/>
      <c r="M125" s="545"/>
      <c r="N125" s="545"/>
      <c r="O125" s="546"/>
      <c r="P125" s="556"/>
      <c r="Q125" s="546"/>
      <c r="R125" s="546"/>
      <c r="S125" s="546"/>
      <c r="T125" s="546"/>
      <c r="Y125"/>
    </row>
    <row r="126" spans="1:25" s="7" customFormat="1" x14ac:dyDescent="0.25">
      <c r="A126" s="546"/>
      <c r="B126" s="286"/>
      <c r="C126" s="545"/>
      <c r="D126" s="560" t="s">
        <v>280</v>
      </c>
      <c r="E126" s="548"/>
      <c r="F126" s="548"/>
      <c r="G126" s="598">
        <f>G39</f>
        <v>0</v>
      </c>
      <c r="H126" s="597">
        <f t="shared" si="11"/>
        <v>0</v>
      </c>
      <c r="I126" s="549">
        <v>0.6</v>
      </c>
      <c r="J126" s="549">
        <v>0</v>
      </c>
      <c r="K126" s="1"/>
      <c r="L126" s="1"/>
      <c r="M126" s="545"/>
      <c r="N126" s="545"/>
      <c r="O126" s="546"/>
      <c r="P126" s="556"/>
      <c r="Q126" s="546"/>
      <c r="R126" s="546"/>
      <c r="S126" s="546"/>
      <c r="T126" s="546"/>
      <c r="Y126"/>
    </row>
    <row r="127" spans="1:25" s="7" customFormat="1" x14ac:dyDescent="0.25">
      <c r="A127" s="546"/>
      <c r="B127" s="286"/>
      <c r="C127" s="548"/>
      <c r="D127" s="560" t="s">
        <v>281</v>
      </c>
      <c r="E127" s="286"/>
      <c r="F127" s="286"/>
      <c r="G127" s="598">
        <f>G40</f>
        <v>74011992.239999995</v>
      </c>
      <c r="H127" s="597">
        <f t="shared" si="11"/>
        <v>7.2615663476527662E-2</v>
      </c>
      <c r="I127" s="549">
        <v>0.4</v>
      </c>
      <c r="J127" s="549">
        <v>0.3</v>
      </c>
      <c r="K127" s="1"/>
      <c r="L127" s="1"/>
      <c r="M127" s="545"/>
      <c r="N127" s="545"/>
      <c r="O127" s="546"/>
      <c r="P127" s="556"/>
      <c r="Q127" s="546"/>
      <c r="R127" s="546"/>
      <c r="S127" s="546"/>
      <c r="T127" s="546"/>
      <c r="Y127"/>
    </row>
    <row r="128" spans="1:25" s="7" customFormat="1" x14ac:dyDescent="0.25">
      <c r="A128" s="546"/>
      <c r="B128" s="286"/>
      <c r="C128" s="548"/>
      <c r="D128" s="560" t="s">
        <v>282</v>
      </c>
      <c r="E128" s="286"/>
      <c r="F128" s="286"/>
      <c r="G128" s="598">
        <f>G50</f>
        <v>0</v>
      </c>
      <c r="H128" s="597">
        <f t="shared" si="11"/>
        <v>0</v>
      </c>
      <c r="I128" s="549">
        <v>0.4</v>
      </c>
      <c r="J128" s="549">
        <v>0</v>
      </c>
      <c r="K128" s="549"/>
      <c r="L128" s="549"/>
      <c r="M128" s="545"/>
      <c r="N128" s="545"/>
      <c r="O128" s="546"/>
      <c r="P128" s="556"/>
      <c r="Q128" s="546"/>
      <c r="R128" s="546"/>
      <c r="S128" s="546"/>
      <c r="T128" s="546"/>
      <c r="Y128"/>
    </row>
    <row r="129" spans="1:25" s="7" customFormat="1" x14ac:dyDescent="0.25">
      <c r="A129" s="546"/>
      <c r="B129" s="286"/>
      <c r="C129" s="548"/>
      <c r="D129" s="560" t="s">
        <v>283</v>
      </c>
      <c r="E129" s="286"/>
      <c r="F129" s="286"/>
      <c r="G129" s="598">
        <f>G51</f>
        <v>0</v>
      </c>
      <c r="H129" s="597">
        <f t="shared" si="11"/>
        <v>0</v>
      </c>
      <c r="I129" s="549">
        <v>0.2</v>
      </c>
      <c r="J129" s="549">
        <v>0</v>
      </c>
      <c r="K129" s="549"/>
      <c r="L129" s="549"/>
      <c r="M129" s="545"/>
      <c r="N129" s="545"/>
      <c r="O129" s="546"/>
      <c r="P129" s="556"/>
      <c r="Q129" s="546"/>
      <c r="R129" s="546"/>
      <c r="S129" s="546"/>
      <c r="T129" s="546"/>
      <c r="Y129"/>
    </row>
    <row r="130" spans="1:25" s="7" customFormat="1" x14ac:dyDescent="0.25">
      <c r="A130" s="546"/>
      <c r="B130" s="286"/>
      <c r="C130" s="548"/>
      <c r="D130" s="560" t="s">
        <v>284</v>
      </c>
      <c r="E130" s="286"/>
      <c r="F130" s="286"/>
      <c r="G130" s="598">
        <f>G52</f>
        <v>0</v>
      </c>
      <c r="H130" s="597">
        <f t="shared" si="11"/>
        <v>0</v>
      </c>
      <c r="I130" s="549">
        <v>0.15</v>
      </c>
      <c r="J130" s="549">
        <v>0</v>
      </c>
      <c r="K130" s="549"/>
      <c r="L130" s="549"/>
      <c r="M130" s="545"/>
      <c r="N130" s="545"/>
      <c r="O130" s="546"/>
      <c r="P130" s="556"/>
      <c r="Q130" s="546"/>
      <c r="R130" s="546"/>
      <c r="S130" s="546"/>
      <c r="T130" s="546"/>
      <c r="Y130"/>
    </row>
    <row r="131" spans="1:25" s="7" customFormat="1" x14ac:dyDescent="0.25">
      <c r="A131" s="546"/>
      <c r="B131" s="286"/>
      <c r="C131" s="548"/>
      <c r="D131" s="560" t="s">
        <v>285</v>
      </c>
      <c r="E131" s="286"/>
      <c r="F131" s="286"/>
      <c r="G131" s="598">
        <f>G53</f>
        <v>0</v>
      </c>
      <c r="H131" s="597">
        <f t="shared" si="11"/>
        <v>0</v>
      </c>
      <c r="I131" s="549">
        <v>0.15</v>
      </c>
      <c r="J131" s="549">
        <v>0</v>
      </c>
      <c r="K131" s="549"/>
      <c r="L131" s="549"/>
      <c r="M131" s="545"/>
      <c r="N131" s="545"/>
      <c r="O131" s="546"/>
      <c r="P131" s="556"/>
      <c r="Q131" s="546"/>
      <c r="R131" s="546"/>
      <c r="S131" s="546"/>
      <c r="T131" s="546"/>
      <c r="Y131"/>
    </row>
    <row r="132" spans="1:25" s="7" customFormat="1" x14ac:dyDescent="0.25">
      <c r="A132" s="546"/>
      <c r="B132" s="286"/>
      <c r="C132" s="548"/>
      <c r="D132" s="560" t="s">
        <v>286</v>
      </c>
      <c r="E132" s="286"/>
      <c r="F132" s="286"/>
      <c r="G132" s="598">
        <f>G54</f>
        <v>7178505.25</v>
      </c>
      <c r="H132" s="597">
        <f t="shared" si="11"/>
        <v>7.0430737738844994E-3</v>
      </c>
      <c r="I132" s="549">
        <v>0.05</v>
      </c>
      <c r="J132" s="549">
        <v>0.02</v>
      </c>
      <c r="K132" s="549"/>
      <c r="L132" s="549"/>
      <c r="M132" s="545"/>
      <c r="N132" s="545"/>
      <c r="O132" s="546"/>
      <c r="P132" s="556"/>
      <c r="Q132" s="546"/>
      <c r="R132" s="546"/>
      <c r="S132" s="546"/>
      <c r="T132" s="546"/>
      <c r="Y132"/>
    </row>
    <row r="133" spans="1:25" s="7" customFormat="1" x14ac:dyDescent="0.25">
      <c r="A133" s="546"/>
      <c r="B133" s="286"/>
      <c r="C133" s="548"/>
      <c r="D133" s="560" t="s">
        <v>287</v>
      </c>
      <c r="E133" s="286"/>
      <c r="F133" s="286"/>
      <c r="G133" s="598">
        <f>G58</f>
        <v>0</v>
      </c>
      <c r="H133" s="597">
        <f t="shared" si="11"/>
        <v>0</v>
      </c>
      <c r="I133" s="549">
        <v>0.05</v>
      </c>
      <c r="J133" s="549">
        <v>0.01</v>
      </c>
      <c r="K133" s="549"/>
      <c r="L133" s="549"/>
      <c r="M133" s="545"/>
      <c r="N133" s="545"/>
      <c r="O133" s="546"/>
      <c r="P133" s="556"/>
      <c r="Q133" s="546"/>
      <c r="R133" s="546"/>
      <c r="S133" s="546"/>
      <c r="T133" s="546"/>
      <c r="Y133"/>
    </row>
    <row r="134" spans="1:25" s="7" customFormat="1" x14ac:dyDescent="0.25">
      <c r="A134" s="546"/>
      <c r="B134" s="286"/>
      <c r="C134" s="548"/>
      <c r="D134" s="560" t="s">
        <v>288</v>
      </c>
      <c r="E134" s="286"/>
      <c r="F134" s="286"/>
      <c r="G134" s="598">
        <f>G59</f>
        <v>0</v>
      </c>
      <c r="H134" s="597">
        <f t="shared" si="11"/>
        <v>0</v>
      </c>
      <c r="I134" s="549">
        <v>0.05</v>
      </c>
      <c r="J134" s="549">
        <v>0</v>
      </c>
      <c r="K134" s="549"/>
      <c r="L134" s="549"/>
      <c r="M134" s="545"/>
      <c r="N134" s="545"/>
      <c r="O134" s="546"/>
      <c r="P134" s="556"/>
      <c r="Q134" s="546"/>
      <c r="R134" s="546"/>
      <c r="S134" s="546"/>
      <c r="T134" s="546"/>
      <c r="Y134"/>
    </row>
    <row r="135" spans="1:25" s="7" customFormat="1" x14ac:dyDescent="0.25">
      <c r="A135" s="546"/>
      <c r="B135" s="286"/>
      <c r="C135" s="548"/>
      <c r="D135" s="564" t="s">
        <v>275</v>
      </c>
      <c r="E135" s="565"/>
      <c r="F135" s="565"/>
      <c r="G135" s="598">
        <f>SUM(G136:G142)</f>
        <v>178454824.75999999</v>
      </c>
      <c r="H135" s="597">
        <f t="shared" si="11"/>
        <v>0.17508805138650696</v>
      </c>
      <c r="I135" s="549"/>
      <c r="J135" s="549"/>
      <c r="K135" s="549"/>
      <c r="L135" s="549"/>
      <c r="M135" s="545"/>
      <c r="N135" s="545"/>
      <c r="O135" s="546"/>
      <c r="P135" s="556"/>
      <c r="Q135" s="546"/>
      <c r="R135" s="546"/>
      <c r="S135" s="546"/>
      <c r="T135" s="546"/>
      <c r="Y135"/>
    </row>
    <row r="136" spans="1:25" s="7" customFormat="1" x14ac:dyDescent="0.25">
      <c r="A136" s="546"/>
      <c r="B136" s="286"/>
      <c r="C136" s="548"/>
      <c r="D136" s="560" t="s">
        <v>290</v>
      </c>
      <c r="E136" s="286"/>
      <c r="F136" s="286"/>
      <c r="G136" s="598">
        <f>G60</f>
        <v>57849211.390000001</v>
      </c>
      <c r="H136" s="597">
        <f t="shared" si="11"/>
        <v>5.6757813693987261E-2</v>
      </c>
      <c r="I136" s="549">
        <v>0.3</v>
      </c>
      <c r="J136" s="549">
        <v>0.15</v>
      </c>
      <c r="K136" s="549"/>
      <c r="L136" s="549"/>
      <c r="M136" s="545"/>
      <c r="N136" s="545"/>
      <c r="O136" s="546"/>
      <c r="P136" s="556"/>
      <c r="Q136" s="546"/>
      <c r="R136" s="546"/>
      <c r="S136" s="546"/>
      <c r="T136" s="546"/>
      <c r="Y136"/>
    </row>
    <row r="137" spans="1:25" s="7" customFormat="1" x14ac:dyDescent="0.25">
      <c r="A137" s="546"/>
      <c r="B137" s="286"/>
      <c r="C137" s="548"/>
      <c r="D137" s="560" t="s">
        <v>289</v>
      </c>
      <c r="E137" s="286"/>
      <c r="F137" s="286"/>
      <c r="G137" s="598">
        <f>G63</f>
        <v>0</v>
      </c>
      <c r="H137" s="597">
        <f t="shared" si="11"/>
        <v>0</v>
      </c>
      <c r="I137" s="549">
        <v>0.3</v>
      </c>
      <c r="J137" s="549">
        <v>0.02</v>
      </c>
      <c r="K137" s="549"/>
      <c r="L137" s="549"/>
      <c r="M137" s="545"/>
      <c r="N137" s="545"/>
      <c r="O137" s="546"/>
      <c r="P137" s="556"/>
      <c r="Q137" s="546"/>
      <c r="R137" s="546"/>
      <c r="S137" s="546"/>
      <c r="T137" s="546"/>
      <c r="Y137"/>
    </row>
    <row r="138" spans="1:25" s="7" customFormat="1" x14ac:dyDescent="0.25">
      <c r="A138" s="546"/>
      <c r="B138" s="286"/>
      <c r="C138" s="548"/>
      <c r="D138" s="560" t="s">
        <v>291</v>
      </c>
      <c r="E138" s="286"/>
      <c r="F138" s="286"/>
      <c r="G138" s="598">
        <f>G65</f>
        <v>75065988.719999999</v>
      </c>
      <c r="H138" s="597">
        <f t="shared" si="11"/>
        <v>7.3649774995225029E-2</v>
      </c>
      <c r="I138" s="549">
        <v>0.2</v>
      </c>
      <c r="J138" s="549">
        <v>0.15</v>
      </c>
      <c r="K138" s="549"/>
      <c r="L138" s="549"/>
      <c r="M138" s="545"/>
      <c r="N138" s="545"/>
      <c r="O138" s="546"/>
      <c r="P138" s="556"/>
      <c r="Q138" s="546"/>
      <c r="R138" s="546"/>
      <c r="S138" s="546"/>
      <c r="T138" s="546"/>
      <c r="Y138"/>
    </row>
    <row r="139" spans="1:25" s="7" customFormat="1" x14ac:dyDescent="0.25">
      <c r="A139" s="546"/>
      <c r="B139" s="286"/>
      <c r="C139" s="548"/>
      <c r="D139" s="560" t="s">
        <v>292</v>
      </c>
      <c r="E139" s="286"/>
      <c r="F139" s="286"/>
      <c r="G139" s="598">
        <f>G74</f>
        <v>0</v>
      </c>
      <c r="H139" s="597">
        <f t="shared" si="11"/>
        <v>0</v>
      </c>
      <c r="I139" s="549">
        <v>0.2</v>
      </c>
      <c r="J139" s="549">
        <v>0</v>
      </c>
      <c r="K139" s="549"/>
      <c r="L139" s="549"/>
      <c r="M139" s="545"/>
      <c r="N139" s="545"/>
      <c r="O139" s="546"/>
      <c r="P139" s="556"/>
      <c r="Q139" s="546"/>
      <c r="R139" s="546"/>
      <c r="S139" s="546"/>
      <c r="T139" s="546"/>
      <c r="Y139"/>
    </row>
    <row r="140" spans="1:25" s="7" customFormat="1" x14ac:dyDescent="0.25">
      <c r="A140" s="546"/>
      <c r="B140" s="286"/>
      <c r="C140" s="548"/>
      <c r="D140" s="560" t="s">
        <v>293</v>
      </c>
      <c r="E140" s="286"/>
      <c r="F140" s="286"/>
      <c r="G140" s="598">
        <f>G75</f>
        <v>15851636.359999999</v>
      </c>
      <c r="H140" s="597">
        <f t="shared" si="11"/>
        <v>1.5552575422337393E-2</v>
      </c>
      <c r="I140" s="549">
        <v>0.1</v>
      </c>
      <c r="J140" s="549">
        <v>0.03</v>
      </c>
      <c r="K140" s="549"/>
      <c r="L140" s="549"/>
      <c r="M140" s="545"/>
      <c r="N140" s="545"/>
      <c r="O140" s="546"/>
      <c r="P140" s="556"/>
      <c r="Q140" s="546"/>
      <c r="R140" s="546"/>
      <c r="S140" s="546"/>
      <c r="T140" s="546"/>
      <c r="Y140"/>
    </row>
    <row r="141" spans="1:25" s="7" customFormat="1" x14ac:dyDescent="0.25">
      <c r="A141" s="546"/>
      <c r="B141" s="286"/>
      <c r="C141" s="548"/>
      <c r="D141" s="560" t="s">
        <v>294</v>
      </c>
      <c r="E141" s="286"/>
      <c r="F141" s="286"/>
      <c r="G141" s="598">
        <f>G80</f>
        <v>15935674.449999999</v>
      </c>
      <c r="H141" s="597">
        <f t="shared" si="11"/>
        <v>1.5635028028705041E-2</v>
      </c>
      <c r="I141" s="549">
        <v>0.05</v>
      </c>
      <c r="J141" s="549">
        <v>0.03</v>
      </c>
      <c r="K141" s="549"/>
      <c r="L141" s="549"/>
      <c r="M141" s="545"/>
      <c r="N141" s="545"/>
      <c r="O141" s="546"/>
      <c r="P141" s="556"/>
      <c r="Q141" s="546"/>
      <c r="R141" s="546"/>
      <c r="S141" s="546"/>
      <c r="T141" s="546"/>
      <c r="Y141"/>
    </row>
    <row r="142" spans="1:25" s="7" customFormat="1" x14ac:dyDescent="0.25">
      <c r="A142" s="546"/>
      <c r="B142" s="286"/>
      <c r="C142" s="548"/>
      <c r="D142" s="560" t="s">
        <v>295</v>
      </c>
      <c r="E142" s="286"/>
      <c r="F142" s="286"/>
      <c r="G142" s="598">
        <f>G86</f>
        <v>13752313.84</v>
      </c>
      <c r="H142" s="597">
        <f t="shared" si="11"/>
        <v>1.3492859246252251E-2</v>
      </c>
      <c r="I142" s="549">
        <v>0.05</v>
      </c>
      <c r="J142" s="549">
        <v>0.03</v>
      </c>
      <c r="K142" s="549"/>
      <c r="L142" s="549"/>
      <c r="M142" s="545"/>
      <c r="N142" s="545"/>
      <c r="O142" s="546"/>
      <c r="P142" s="556"/>
      <c r="Q142" s="546"/>
      <c r="R142" s="546"/>
      <c r="S142" s="546"/>
      <c r="T142" s="546"/>
      <c r="Y142"/>
    </row>
    <row r="143" spans="1:25" s="7" customFormat="1" x14ac:dyDescent="0.25">
      <c r="A143" s="546"/>
      <c r="B143" s="286"/>
      <c r="C143" s="548"/>
      <c r="D143" s="564" t="s">
        <v>159</v>
      </c>
      <c r="E143" s="565"/>
      <c r="F143" s="565"/>
      <c r="G143" s="598">
        <f>G89</f>
        <v>9811.86</v>
      </c>
      <c r="H143" s="597">
        <f t="shared" si="11"/>
        <v>9.6267469943030774E-6</v>
      </c>
      <c r="I143" s="549"/>
      <c r="J143" s="549"/>
      <c r="K143" s="549"/>
      <c r="L143" s="549"/>
      <c r="M143" s="545"/>
      <c r="N143" s="545"/>
      <c r="O143" s="546"/>
      <c r="P143" s="556"/>
      <c r="Q143" s="546"/>
      <c r="R143" s="546"/>
      <c r="S143" s="546"/>
      <c r="T143" s="546"/>
      <c r="Y143"/>
    </row>
    <row r="144" spans="1:25" s="7" customFormat="1" x14ac:dyDescent="0.25">
      <c r="A144" s="546"/>
      <c r="B144" s="286"/>
      <c r="C144" s="548"/>
      <c r="D144" s="560"/>
      <c r="E144" s="286"/>
      <c r="F144" s="286"/>
      <c r="G144" s="598"/>
      <c r="H144" s="597"/>
      <c r="I144" s="545"/>
      <c r="J144" s="549"/>
      <c r="K144" s="549"/>
      <c r="L144" s="549"/>
      <c r="M144" s="545"/>
      <c r="N144" s="545"/>
      <c r="O144" s="546"/>
      <c r="P144" s="556"/>
      <c r="Q144" s="546"/>
      <c r="R144" s="546"/>
      <c r="S144" s="546"/>
      <c r="T144" s="546"/>
      <c r="Y144"/>
    </row>
    <row r="145" spans="1:25" s="7" customFormat="1" x14ac:dyDescent="0.25">
      <c r="A145" s="546"/>
      <c r="B145" s="546"/>
      <c r="C145" s="546"/>
      <c r="D145" s="546"/>
      <c r="E145" s="546"/>
      <c r="F145" s="546"/>
      <c r="G145" s="598"/>
      <c r="H145" s="597"/>
      <c r="I145" s="545"/>
      <c r="J145" s="545"/>
      <c r="K145" s="545"/>
      <c r="L145" s="545"/>
      <c r="M145" s="545"/>
      <c r="N145" s="545"/>
      <c r="O145" s="546"/>
      <c r="P145" s="556"/>
      <c r="Q145" s="546"/>
      <c r="R145" s="546"/>
      <c r="S145" s="546"/>
      <c r="T145" s="546"/>
      <c r="Y145"/>
    </row>
    <row r="146" spans="1:25" s="7" customFormat="1" x14ac:dyDescent="0.25">
      <c r="A146" s="546"/>
      <c r="B146" s="546"/>
      <c r="C146" s="546"/>
      <c r="D146" s="546"/>
      <c r="E146" s="546"/>
      <c r="F146" s="546"/>
      <c r="G146" s="598"/>
      <c r="H146" s="597"/>
      <c r="I146" s="545"/>
      <c r="J146" s="545"/>
      <c r="K146" s="545"/>
      <c r="L146" s="545"/>
      <c r="M146" s="545"/>
      <c r="N146" s="545"/>
      <c r="O146" s="546"/>
      <c r="P146" s="556"/>
      <c r="Q146" s="546"/>
      <c r="R146" s="546"/>
      <c r="S146" s="546"/>
      <c r="T146" s="546"/>
      <c r="Y146"/>
    </row>
    <row r="147" spans="1:25" s="7" customFormat="1" x14ac:dyDescent="0.25">
      <c r="A147" s="546"/>
      <c r="B147" s="546"/>
      <c r="C147" s="546"/>
      <c r="D147" s="546" t="s">
        <v>20</v>
      </c>
      <c r="E147" s="546"/>
      <c r="F147" s="546"/>
      <c r="G147" s="606">
        <f>G5+G6+G7+G8+G9+G10+G11+G12+G13+G14</f>
        <v>158990505.19</v>
      </c>
      <c r="H147" s="597">
        <f t="shared" ref="H147:H168" si="12">G147/$G$93</f>
        <v>0.15599095053950629</v>
      </c>
      <c r="I147" s="545"/>
      <c r="J147" s="545"/>
      <c r="K147" s="545"/>
      <c r="L147" s="545"/>
      <c r="M147" s="545"/>
      <c r="N147" s="545"/>
      <c r="O147" s="546"/>
      <c r="P147" s="556"/>
      <c r="Q147" s="546"/>
      <c r="R147" s="546"/>
      <c r="S147" s="546"/>
      <c r="T147" s="546"/>
      <c r="Y147"/>
    </row>
    <row r="148" spans="1:25" s="7" customFormat="1" x14ac:dyDescent="0.25">
      <c r="A148" s="546"/>
      <c r="B148" s="546"/>
      <c r="C148" s="546"/>
      <c r="D148" s="546" t="s">
        <v>257</v>
      </c>
      <c r="E148" s="546"/>
      <c r="F148" s="546"/>
      <c r="G148" s="607">
        <f>G24+G25+G26+G27+G35+G64+G72</f>
        <v>245223462.84999999</v>
      </c>
      <c r="H148" s="597">
        <f t="shared" si="12"/>
        <v>0.24059701564472277</v>
      </c>
      <c r="I148" s="545"/>
      <c r="J148" s="545"/>
      <c r="K148" s="545"/>
      <c r="L148" s="545"/>
      <c r="M148" s="545"/>
      <c r="N148" s="545"/>
      <c r="O148" s="546"/>
      <c r="P148" s="556"/>
      <c r="Q148" s="546"/>
      <c r="R148" s="546"/>
      <c r="S148" s="546"/>
      <c r="T148" s="546"/>
      <c r="Y148"/>
    </row>
    <row r="149" spans="1:25" s="7" customFormat="1" x14ac:dyDescent="0.25">
      <c r="A149" s="546"/>
      <c r="B149" s="546"/>
      <c r="C149" s="546"/>
      <c r="D149" s="546" t="s">
        <v>258</v>
      </c>
      <c r="E149" s="546"/>
      <c r="F149" s="546"/>
      <c r="G149" s="607">
        <f>G20+G21+G32+G33+G34</f>
        <v>140024697.34999999</v>
      </c>
      <c r="H149" s="597">
        <f t="shared" si="12"/>
        <v>0.13738295637547931</v>
      </c>
      <c r="I149" s="545"/>
      <c r="J149" s="545"/>
      <c r="K149" s="545"/>
      <c r="L149" s="545"/>
      <c r="M149" s="545"/>
      <c r="N149" s="545"/>
      <c r="O149" s="546"/>
      <c r="P149" s="556"/>
      <c r="Q149" s="546"/>
      <c r="R149" s="546"/>
      <c r="S149" s="546"/>
      <c r="T149" s="546"/>
      <c r="Y149"/>
    </row>
    <row r="150" spans="1:25" s="7" customFormat="1" x14ac:dyDescent="0.25">
      <c r="A150" s="546"/>
      <c r="B150" s="546"/>
      <c r="C150" s="546"/>
      <c r="D150" s="546" t="s">
        <v>259</v>
      </c>
      <c r="E150" s="546"/>
      <c r="F150" s="546"/>
      <c r="G150" s="607">
        <f>G22+G45+G46+G47+G48+G61+G66+G78+G79</f>
        <v>103680969.53999999</v>
      </c>
      <c r="H150" s="597">
        <f>G150/$G$93</f>
        <v>0.10172489842757884</v>
      </c>
      <c r="I150" s="545"/>
      <c r="J150" s="545"/>
      <c r="K150" s="545"/>
      <c r="L150" s="545"/>
      <c r="M150" s="545"/>
      <c r="N150" s="545"/>
      <c r="O150" s="546"/>
      <c r="P150" s="556"/>
      <c r="Q150" s="546"/>
      <c r="R150" s="546"/>
      <c r="S150" s="546"/>
      <c r="T150" s="546"/>
      <c r="Y150"/>
    </row>
    <row r="151" spans="1:25" s="7" customFormat="1" x14ac:dyDescent="0.25">
      <c r="A151" s="546"/>
      <c r="B151" s="546"/>
      <c r="C151" s="546"/>
      <c r="D151" s="546" t="s">
        <v>62</v>
      </c>
      <c r="E151" s="546"/>
      <c r="F151" s="546"/>
      <c r="G151" s="607">
        <f>G37+G36+G38+G49</f>
        <v>96846509.210000008</v>
      </c>
      <c r="H151" s="597">
        <f t="shared" si="12"/>
        <v>9.5019378736153265E-2</v>
      </c>
      <c r="I151" s="545"/>
      <c r="J151" s="545"/>
      <c r="K151" s="545"/>
      <c r="L151" s="545"/>
      <c r="M151" s="545"/>
      <c r="N151" s="545"/>
      <c r="O151" s="546"/>
      <c r="P151" s="556"/>
      <c r="Q151" s="546"/>
      <c r="R151" s="546"/>
      <c r="S151" s="546"/>
      <c r="T151" s="546"/>
      <c r="Y151"/>
    </row>
    <row r="152" spans="1:25" s="7" customFormat="1" x14ac:dyDescent="0.25">
      <c r="A152" s="546"/>
      <c r="B152" s="546"/>
      <c r="C152" s="546"/>
      <c r="D152" s="546" t="s">
        <v>35</v>
      </c>
      <c r="E152" s="546"/>
      <c r="F152" s="546"/>
      <c r="G152" s="607">
        <f>G16+G18+G41+G42+G43+G17+G19</f>
        <v>115977876.62</v>
      </c>
      <c r="H152" s="597">
        <f t="shared" si="12"/>
        <v>0.11378980898190945</v>
      </c>
      <c r="I152" s="545"/>
      <c r="J152" s="545"/>
      <c r="K152" s="545"/>
      <c r="L152" s="545"/>
      <c r="M152" s="545"/>
      <c r="N152" s="545"/>
      <c r="O152" s="546"/>
      <c r="P152" s="556"/>
      <c r="Q152" s="546"/>
      <c r="R152" s="546"/>
      <c r="S152" s="546"/>
      <c r="T152" s="546"/>
      <c r="Y152"/>
    </row>
    <row r="153" spans="1:25" s="7" customFormat="1" x14ac:dyDescent="0.25">
      <c r="A153" s="546"/>
      <c r="B153" s="546"/>
      <c r="C153" s="546"/>
      <c r="D153" s="546" t="s">
        <v>260</v>
      </c>
      <c r="E153" s="546"/>
      <c r="F153" s="546"/>
      <c r="G153" s="607">
        <f>G44+G68+G69+G70+G71</f>
        <v>49772320.789999999</v>
      </c>
      <c r="H153" s="597">
        <f t="shared" si="12"/>
        <v>4.8833303732892748E-2</v>
      </c>
      <c r="I153" s="545"/>
      <c r="J153" s="545"/>
      <c r="K153" s="545"/>
      <c r="L153" s="545"/>
      <c r="M153" s="545"/>
      <c r="N153" s="545"/>
      <c r="O153" s="546"/>
      <c r="P153" s="556"/>
      <c r="Q153" s="546"/>
      <c r="R153" s="546"/>
      <c r="S153" s="546"/>
      <c r="T153" s="546"/>
      <c r="Y153"/>
    </row>
    <row r="154" spans="1:25" s="7" customFormat="1" x14ac:dyDescent="0.25">
      <c r="A154" s="546"/>
      <c r="B154" s="546"/>
      <c r="C154" s="546"/>
      <c r="D154" s="546" t="s">
        <v>265</v>
      </c>
      <c r="E154" s="546"/>
      <c r="F154" s="546"/>
      <c r="G154" s="606">
        <f>G76+G77+G62+G28</f>
        <v>33515998.399999999</v>
      </c>
      <c r="H154" s="597">
        <f>G154/$G$93</f>
        <v>3.2883677188450172E-2</v>
      </c>
      <c r="I154" s="545"/>
      <c r="J154" s="545"/>
      <c r="K154" s="545"/>
      <c r="L154" s="545"/>
      <c r="M154" s="545"/>
      <c r="N154" s="545"/>
      <c r="O154" s="546"/>
      <c r="P154" s="556"/>
      <c r="Q154" s="546"/>
      <c r="R154" s="546"/>
      <c r="S154" s="546"/>
      <c r="T154" s="546"/>
      <c r="Y154"/>
    </row>
    <row r="155" spans="1:25" s="7" customFormat="1" x14ac:dyDescent="0.25">
      <c r="A155" s="546"/>
      <c r="B155" s="546"/>
      <c r="C155" s="546"/>
      <c r="D155" s="546" t="s">
        <v>261</v>
      </c>
      <c r="E155" s="546"/>
      <c r="F155" s="546"/>
      <c r="G155" s="606">
        <f>G67</f>
        <v>21889646.530000001</v>
      </c>
      <c r="H155" s="597">
        <f t="shared" si="12"/>
        <v>2.147667098175415E-2</v>
      </c>
      <c r="I155" s="545"/>
      <c r="J155" s="545"/>
      <c r="K155" s="545"/>
      <c r="L155" s="545"/>
      <c r="M155" s="545"/>
      <c r="N155" s="545"/>
      <c r="O155" s="546"/>
      <c r="P155" s="556"/>
      <c r="Q155" s="546"/>
      <c r="R155" s="546"/>
      <c r="S155" s="546"/>
      <c r="T155" s="546"/>
      <c r="Y155"/>
    </row>
    <row r="156" spans="1:25" s="7" customFormat="1" x14ac:dyDescent="0.25">
      <c r="A156" s="546"/>
      <c r="B156" s="546"/>
      <c r="C156" s="546"/>
      <c r="D156" s="546" t="s">
        <v>46</v>
      </c>
      <c r="E156" s="546"/>
      <c r="F156" s="546"/>
      <c r="G156" s="606">
        <f>G23</f>
        <v>12281258.609999999</v>
      </c>
      <c r="H156" s="597">
        <f t="shared" si="12"/>
        <v>1.2049557312280879E-2</v>
      </c>
      <c r="I156" s="545"/>
      <c r="J156" s="545"/>
      <c r="K156" s="545"/>
      <c r="L156" s="545"/>
      <c r="M156" s="545"/>
      <c r="N156" s="545"/>
      <c r="O156" s="546"/>
      <c r="P156" s="556"/>
      <c r="Q156" s="546"/>
      <c r="R156" s="546"/>
      <c r="S156" s="546"/>
      <c r="T156" s="546"/>
      <c r="Y156"/>
    </row>
    <row r="157" spans="1:25" s="7" customFormat="1" x14ac:dyDescent="0.25">
      <c r="A157" s="546"/>
      <c r="B157" s="546"/>
      <c r="C157" s="546"/>
      <c r="D157" s="546" t="s">
        <v>262</v>
      </c>
      <c r="E157" s="546"/>
      <c r="F157" s="546"/>
      <c r="G157" s="606">
        <f>G88</f>
        <v>8902313.8399999999</v>
      </c>
      <c r="H157" s="597">
        <f t="shared" si="12"/>
        <v>8.7343605597269714E-3</v>
      </c>
      <c r="I157" s="545"/>
      <c r="J157" s="545"/>
      <c r="K157" s="545"/>
      <c r="L157" s="545"/>
      <c r="M157" s="545"/>
      <c r="N157" s="545"/>
      <c r="O157" s="546"/>
      <c r="P157" s="556"/>
      <c r="Q157" s="546"/>
      <c r="R157" s="546"/>
      <c r="S157" s="546"/>
      <c r="T157" s="546"/>
      <c r="Y157"/>
    </row>
    <row r="158" spans="1:25" s="7" customFormat="1" x14ac:dyDescent="0.25">
      <c r="A158" s="546"/>
      <c r="B158" s="546"/>
      <c r="C158" s="546"/>
      <c r="D158" s="546" t="s">
        <v>263</v>
      </c>
      <c r="E158" s="546"/>
      <c r="F158" s="546"/>
      <c r="G158" s="606">
        <f>G81+G82+G83</f>
        <v>14618495.949999999</v>
      </c>
      <c r="H158" s="597">
        <f t="shared" si="12"/>
        <v>1.4342699747845382E-2</v>
      </c>
      <c r="I158" s="545"/>
      <c r="J158" s="545"/>
      <c r="K158" s="545"/>
      <c r="L158" s="545"/>
      <c r="M158" s="545"/>
      <c r="N158" s="545"/>
      <c r="O158" s="546"/>
      <c r="P158" s="556"/>
      <c r="Q158" s="546"/>
      <c r="R158" s="546"/>
      <c r="S158" s="546"/>
      <c r="T158" s="546"/>
      <c r="Y158"/>
    </row>
    <row r="159" spans="1:25" s="7" customFormat="1" x14ac:dyDescent="0.25">
      <c r="A159" s="546"/>
      <c r="B159" s="546"/>
      <c r="C159" s="546"/>
      <c r="D159" s="546" t="s">
        <v>57</v>
      </c>
      <c r="E159" s="546"/>
      <c r="F159" s="546"/>
      <c r="G159" s="607"/>
      <c r="H159" s="597">
        <f>G159/$G$93</f>
        <v>0</v>
      </c>
      <c r="I159" s="545"/>
      <c r="J159" s="545"/>
      <c r="K159" s="545"/>
      <c r="L159" s="545"/>
      <c r="M159" s="545"/>
      <c r="N159" s="545"/>
      <c r="O159" s="546"/>
      <c r="P159" s="556"/>
      <c r="Q159" s="546"/>
      <c r="R159" s="546"/>
      <c r="S159" s="546"/>
      <c r="T159" s="546"/>
      <c r="Y159"/>
    </row>
    <row r="160" spans="1:25" s="7" customFormat="1" x14ac:dyDescent="0.25">
      <c r="A160" s="546"/>
      <c r="B160" s="546"/>
      <c r="C160" s="546"/>
      <c r="D160" s="546" t="s">
        <v>82</v>
      </c>
      <c r="E160" s="546"/>
      <c r="F160" s="546"/>
      <c r="G160" s="606">
        <f>G55</f>
        <v>7096447.3099999996</v>
      </c>
      <c r="H160" s="597">
        <f t="shared" si="12"/>
        <v>6.9625639595115143E-3</v>
      </c>
      <c r="I160" s="545"/>
      <c r="J160" s="545"/>
      <c r="K160" s="545"/>
      <c r="L160" s="545"/>
      <c r="M160" s="545"/>
      <c r="N160" s="545"/>
      <c r="O160" s="546"/>
      <c r="P160" s="556"/>
      <c r="Q160" s="546"/>
      <c r="R160" s="546"/>
      <c r="S160" s="546"/>
      <c r="T160" s="546"/>
      <c r="Y160"/>
    </row>
    <row r="161" spans="1:25" s="7" customFormat="1" x14ac:dyDescent="0.25">
      <c r="A161" s="546"/>
      <c r="B161" s="546"/>
      <c r="C161" s="546"/>
      <c r="D161" s="546" t="s">
        <v>264</v>
      </c>
      <c r="E161" s="546"/>
      <c r="F161" s="546"/>
      <c r="G161" s="606">
        <f>G87</f>
        <v>4850000</v>
      </c>
      <c r="H161" s="597">
        <f t="shared" si="12"/>
        <v>4.7584986865252784E-3</v>
      </c>
      <c r="I161" s="545"/>
      <c r="J161" s="545"/>
      <c r="K161" s="545"/>
      <c r="L161" s="545"/>
      <c r="M161" s="545"/>
      <c r="N161" s="545"/>
      <c r="O161" s="546"/>
      <c r="P161" s="556"/>
      <c r="Q161" s="546"/>
      <c r="R161" s="546"/>
      <c r="S161" s="546"/>
      <c r="T161" s="546"/>
      <c r="Y161"/>
    </row>
    <row r="162" spans="1:25" s="7" customFormat="1" x14ac:dyDescent="0.25">
      <c r="A162" s="546"/>
      <c r="B162" s="546"/>
      <c r="C162" s="546"/>
      <c r="D162" s="546" t="s">
        <v>266</v>
      </c>
      <c r="E162" s="546"/>
      <c r="F162" s="546"/>
      <c r="G162" s="606">
        <f>G73</f>
        <v>4149479.4</v>
      </c>
      <c r="H162" s="597">
        <f t="shared" si="12"/>
        <v>4.071194283435815E-3</v>
      </c>
      <c r="I162" s="545"/>
      <c r="J162" s="545"/>
      <c r="K162" s="545"/>
      <c r="L162" s="545"/>
      <c r="M162" s="545"/>
      <c r="N162" s="545"/>
      <c r="O162" s="546"/>
      <c r="P162" s="556"/>
      <c r="Q162" s="546"/>
      <c r="R162" s="546"/>
      <c r="S162" s="546"/>
      <c r="T162" s="546"/>
      <c r="Y162"/>
    </row>
    <row r="163" spans="1:25" s="7" customFormat="1" x14ac:dyDescent="0.25">
      <c r="A163" s="546"/>
      <c r="B163" s="546"/>
      <c r="C163" s="546"/>
      <c r="D163" s="546" t="s">
        <v>267</v>
      </c>
      <c r="E163" s="546"/>
      <c r="F163" s="546"/>
      <c r="G163" s="607">
        <f>G85</f>
        <v>846850.37</v>
      </c>
      <c r="H163" s="597">
        <f t="shared" si="12"/>
        <v>8.3087347903679307E-4</v>
      </c>
      <c r="I163" s="545"/>
      <c r="J163" s="545"/>
      <c r="K163" s="545"/>
      <c r="L163" s="545"/>
      <c r="M163" s="545"/>
      <c r="N163" s="545"/>
      <c r="O163" s="546"/>
      <c r="P163" s="556"/>
      <c r="Q163" s="546"/>
      <c r="R163" s="546"/>
      <c r="S163" s="546"/>
      <c r="T163" s="546"/>
      <c r="Y163"/>
    </row>
    <row r="164" spans="1:25" s="7" customFormat="1" x14ac:dyDescent="0.25">
      <c r="A164" s="546"/>
      <c r="B164" s="546"/>
      <c r="C164" s="546"/>
      <c r="D164" s="546" t="s">
        <v>268</v>
      </c>
      <c r="E164" s="546"/>
      <c r="F164" s="546"/>
      <c r="G164" s="607">
        <f>G84</f>
        <v>470328.13</v>
      </c>
      <c r="H164" s="597">
        <f t="shared" si="12"/>
        <v>4.6145480182286405E-4</v>
      </c>
      <c r="I164" s="545"/>
      <c r="J164" s="545"/>
      <c r="K164" s="545"/>
      <c r="L164" s="545"/>
      <c r="M164" s="545"/>
      <c r="N164" s="545"/>
      <c r="O164" s="546"/>
      <c r="P164" s="556"/>
      <c r="Q164" s="546"/>
      <c r="R164" s="546"/>
      <c r="S164" s="546"/>
      <c r="T164" s="546"/>
      <c r="Y164"/>
    </row>
    <row r="165" spans="1:25" s="7" customFormat="1" x14ac:dyDescent="0.25">
      <c r="A165" s="546"/>
      <c r="B165" s="546"/>
      <c r="C165" s="546"/>
      <c r="D165" s="546" t="s">
        <v>269</v>
      </c>
      <c r="E165" s="546"/>
      <c r="F165" s="546"/>
      <c r="G165" s="607">
        <f>G57</f>
        <v>43606.080000000002</v>
      </c>
      <c r="H165" s="597">
        <f t="shared" si="12"/>
        <v>4.2783396784436335E-5</v>
      </c>
      <c r="I165" s="545"/>
      <c r="J165" s="545"/>
      <c r="K165" s="545"/>
      <c r="L165" s="545"/>
      <c r="M165" s="545"/>
      <c r="N165" s="545"/>
      <c r="O165" s="546"/>
      <c r="P165" s="556"/>
      <c r="Q165" s="546"/>
      <c r="R165" s="546"/>
      <c r="S165" s="546"/>
      <c r="T165" s="546"/>
      <c r="Y165"/>
    </row>
    <row r="166" spans="1:25" s="7" customFormat="1" x14ac:dyDescent="0.25">
      <c r="A166" s="546"/>
      <c r="B166" s="546"/>
      <c r="C166" s="546"/>
      <c r="D166" s="546" t="s">
        <v>86</v>
      </c>
      <c r="E166" s="546"/>
      <c r="F166" s="546"/>
      <c r="G166" s="607">
        <f>G56</f>
        <v>38451.86</v>
      </c>
      <c r="H166" s="597">
        <f t="shared" si="12"/>
        <v>3.7726417588547194E-5</v>
      </c>
      <c r="I166" s="545"/>
      <c r="J166" s="545"/>
      <c r="K166" s="545"/>
      <c r="L166" s="545"/>
      <c r="M166" s="545"/>
      <c r="N166" s="545"/>
      <c r="O166" s="546"/>
      <c r="P166" s="556"/>
      <c r="Q166" s="546"/>
      <c r="R166" s="546"/>
      <c r="S166" s="546"/>
      <c r="T166" s="546"/>
      <c r="Y166"/>
    </row>
    <row r="167" spans="1:25" s="7" customFormat="1" x14ac:dyDescent="0.25">
      <c r="A167" s="546"/>
      <c r="B167" s="546"/>
      <c r="C167" s="546"/>
      <c r="D167" s="546"/>
      <c r="E167" s="546"/>
      <c r="F167" s="546"/>
      <c r="G167" s="595"/>
      <c r="H167" s="597">
        <f t="shared" si="12"/>
        <v>0</v>
      </c>
      <c r="I167" s="545"/>
      <c r="J167" s="545"/>
      <c r="K167" s="545"/>
      <c r="L167" s="545"/>
      <c r="M167" s="545"/>
      <c r="N167" s="545"/>
      <c r="O167" s="546"/>
      <c r="P167" s="556"/>
      <c r="Q167" s="546"/>
      <c r="R167" s="546"/>
      <c r="S167" s="546"/>
      <c r="T167" s="546"/>
      <c r="Y167"/>
    </row>
    <row r="168" spans="1:25" s="7" customFormat="1" x14ac:dyDescent="0.25">
      <c r="A168" s="546"/>
      <c r="B168" s="546"/>
      <c r="C168" s="546"/>
      <c r="D168" s="546" t="s">
        <v>270</v>
      </c>
      <c r="E168" s="546"/>
      <c r="F168" s="546"/>
      <c r="G168" s="606">
        <f>G89</f>
        <v>9811.86</v>
      </c>
      <c r="H168" s="597">
        <f t="shared" si="12"/>
        <v>9.6267469943030774E-6</v>
      </c>
      <c r="I168" s="545"/>
      <c r="J168" s="545"/>
      <c r="K168" s="545"/>
      <c r="L168" s="545"/>
      <c r="M168" s="545"/>
      <c r="N168" s="545"/>
      <c r="O168" s="546"/>
      <c r="P168" s="556"/>
      <c r="Q168" s="546"/>
      <c r="R168" s="546"/>
      <c r="S168" s="546"/>
      <c r="T168" s="546"/>
      <c r="Y168"/>
    </row>
    <row r="169" spans="1:25" s="7" customFormat="1" ht="15.75" thickBot="1" x14ac:dyDescent="0.3">
      <c r="A169" s="546"/>
      <c r="B169" s="546"/>
      <c r="C169" s="546"/>
      <c r="D169" s="546"/>
      <c r="E169" s="546"/>
      <c r="F169" s="546"/>
      <c r="G169" s="595"/>
      <c r="H169" s="597"/>
      <c r="I169" s="545"/>
      <c r="J169" s="545"/>
      <c r="K169" s="545"/>
      <c r="L169" s="545"/>
      <c r="M169" s="545"/>
      <c r="N169" s="545"/>
      <c r="O169" s="546"/>
      <c r="P169" s="556"/>
      <c r="Q169" s="546"/>
      <c r="R169" s="546"/>
      <c r="S169" s="546"/>
      <c r="T169" s="546"/>
      <c r="Y169"/>
    </row>
    <row r="170" spans="1:25" s="7" customFormat="1" ht="15.75" thickBot="1" x14ac:dyDescent="0.3">
      <c r="A170" s="546"/>
      <c r="B170" s="546"/>
      <c r="C170" s="546"/>
      <c r="D170" s="546"/>
      <c r="E170" s="562"/>
      <c r="F170" s="546"/>
      <c r="G170" s="608">
        <f>SUM(G147:G169)</f>
        <v>1019229029.89</v>
      </c>
      <c r="H170" s="597">
        <f>SUM(H147:H169)</f>
        <v>1</v>
      </c>
      <c r="I170" s="545"/>
      <c r="J170" s="545"/>
      <c r="K170" s="545"/>
      <c r="L170" s="545"/>
      <c r="M170" s="545"/>
      <c r="N170" s="545"/>
      <c r="O170" s="546"/>
      <c r="P170" s="556"/>
      <c r="Q170" s="546"/>
      <c r="R170" s="546"/>
      <c r="S170" s="546"/>
      <c r="T170" s="546"/>
      <c r="Y170"/>
    </row>
    <row r="171" spans="1:25" s="7" customFormat="1" x14ac:dyDescent="0.25">
      <c r="A171" s="546"/>
      <c r="B171" s="546"/>
      <c r="C171" s="546"/>
      <c r="D171" s="546"/>
      <c r="E171" s="546"/>
      <c r="F171" s="546"/>
      <c r="G171" s="598"/>
      <c r="H171" s="597"/>
      <c r="I171" s="545"/>
      <c r="J171" s="545"/>
      <c r="K171" s="545"/>
      <c r="L171" s="545"/>
      <c r="M171" s="632"/>
      <c r="N171" s="545"/>
      <c r="O171" s="546"/>
      <c r="P171" s="556"/>
      <c r="Q171" s="546"/>
      <c r="R171" s="546"/>
      <c r="S171" s="546"/>
      <c r="T171" s="546"/>
      <c r="Y171"/>
    </row>
    <row r="172" spans="1:25" s="7" customFormat="1" x14ac:dyDescent="0.25">
      <c r="A172" s="546"/>
      <c r="B172" s="546"/>
      <c r="C172" s="546"/>
      <c r="D172" s="546" t="s">
        <v>271</v>
      </c>
      <c r="E172" s="556">
        <f>G172/G106</f>
        <v>0.18910232933585039</v>
      </c>
      <c r="F172" s="546"/>
      <c r="G172" s="554">
        <f>G5+G6+G7+G8+G9+G10+G11+G12+G13+G14</f>
        <v>158990505.19</v>
      </c>
      <c r="H172" s="549">
        <f>G172/G180</f>
        <v>0.18910232933585042</v>
      </c>
      <c r="I172" s="545"/>
      <c r="J172" s="545"/>
      <c r="K172" s="545"/>
      <c r="L172" s="545"/>
      <c r="M172" s="545"/>
      <c r="N172" s="545"/>
      <c r="O172" s="546"/>
      <c r="P172" s="556"/>
      <c r="Q172" s="546"/>
      <c r="R172" s="546"/>
      <c r="S172" s="546"/>
      <c r="T172" s="546"/>
      <c r="Y172"/>
    </row>
    <row r="173" spans="1:25" s="7" customFormat="1" x14ac:dyDescent="0.25">
      <c r="A173" s="546"/>
      <c r="B173" s="546"/>
      <c r="C173" s="546"/>
      <c r="D173" s="546" t="s">
        <v>141</v>
      </c>
      <c r="E173" s="556">
        <f>G173/G106</f>
        <v>0.15623550694042818</v>
      </c>
      <c r="F173" s="546"/>
      <c r="G173" s="554">
        <f>G23+G34+G35+G38</f>
        <v>131357251.19999999</v>
      </c>
      <c r="H173" s="549">
        <f>G173/G180</f>
        <v>0.1562355069404282</v>
      </c>
      <c r="I173" s="545"/>
      <c r="J173" s="545"/>
      <c r="K173" s="545"/>
      <c r="L173" s="545"/>
      <c r="M173" s="545"/>
      <c r="N173" s="545"/>
      <c r="O173" s="546"/>
      <c r="P173" s="556"/>
      <c r="Q173" s="546"/>
      <c r="R173" s="546"/>
      <c r="S173" s="546"/>
      <c r="T173" s="546"/>
      <c r="Y173"/>
    </row>
    <row r="174" spans="1:25" s="7" customFormat="1" x14ac:dyDescent="0.25">
      <c r="A174" s="546"/>
      <c r="B174" s="546"/>
      <c r="C174" s="546"/>
      <c r="D174" s="546" t="s">
        <v>272</v>
      </c>
      <c r="E174" s="556">
        <f>G174/G106</f>
        <v>0.31488342521301499</v>
      </c>
      <c r="F174" s="546"/>
      <c r="G174" s="554">
        <f>G16+G18+G28+G32+G33+G22+G24+G27+G37+G36</f>
        <v>264742771.95000002</v>
      </c>
      <c r="H174" s="549">
        <f>G174/G180</f>
        <v>0.31488342521301504</v>
      </c>
      <c r="I174" s="545"/>
      <c r="J174" s="545"/>
      <c r="K174" s="545"/>
      <c r="L174" s="545"/>
      <c r="M174" s="545"/>
      <c r="N174" s="545"/>
      <c r="O174" s="546"/>
      <c r="P174" s="556"/>
      <c r="Q174" s="546"/>
      <c r="R174" s="546"/>
      <c r="S174" s="546"/>
      <c r="T174" s="546"/>
      <c r="Y174"/>
    </row>
    <row r="175" spans="1:25" s="7" customFormat="1" x14ac:dyDescent="0.25">
      <c r="A175" s="546"/>
      <c r="B175" s="546"/>
      <c r="C175" s="546"/>
      <c r="D175" s="546" t="s">
        <v>273</v>
      </c>
      <c r="E175" s="556">
        <f>G175/G106</f>
        <v>4.2049379722776468E-2</v>
      </c>
      <c r="F175" s="546"/>
      <c r="G175" s="554">
        <f>G45+G46</f>
        <v>35353621.230000004</v>
      </c>
      <c r="H175" s="549">
        <f>G175/G180</f>
        <v>4.2049379722776475E-2</v>
      </c>
      <c r="I175" s="545"/>
      <c r="J175" s="545"/>
      <c r="K175" s="545"/>
      <c r="L175" s="545"/>
      <c r="M175" s="545"/>
      <c r="N175" s="545"/>
      <c r="O175" s="546"/>
      <c r="P175" s="556"/>
      <c r="Q175" s="546"/>
      <c r="R175" s="546"/>
      <c r="S175" s="546"/>
      <c r="T175" s="546"/>
      <c r="Y175"/>
    </row>
    <row r="176" spans="1:25" s="7" customFormat="1" x14ac:dyDescent="0.25">
      <c r="A176" s="546"/>
      <c r="B176" s="546"/>
      <c r="C176" s="546"/>
      <c r="D176" s="546" t="s">
        <v>138</v>
      </c>
      <c r="E176" s="556">
        <f>G176/G106</f>
        <v>0.2432112599877109</v>
      </c>
      <c r="F176" s="546"/>
      <c r="G176" s="554">
        <f>G17+G19+G20+G21+G25+G26</f>
        <v>204483367.44</v>
      </c>
      <c r="H176" s="549">
        <f>G176/G180</f>
        <v>0.24321125998771093</v>
      </c>
      <c r="I176" s="545"/>
      <c r="J176" s="545"/>
      <c r="K176" s="545"/>
      <c r="L176" s="545"/>
      <c r="M176" s="545"/>
      <c r="N176" s="545"/>
      <c r="O176" s="546"/>
      <c r="P176" s="556"/>
      <c r="Q176" s="546"/>
      <c r="R176" s="546"/>
      <c r="S176" s="546"/>
      <c r="T176" s="546"/>
      <c r="Y176"/>
    </row>
    <row r="177" spans="1:25" s="7" customFormat="1" x14ac:dyDescent="0.25">
      <c r="A177" s="546"/>
      <c r="B177" s="546"/>
      <c r="C177" s="546"/>
      <c r="D177" s="546" t="s">
        <v>274</v>
      </c>
      <c r="E177" s="556">
        <f>G177/G106</f>
        <v>4.5980028792186725E-2</v>
      </c>
      <c r="F177" s="546"/>
      <c r="G177" s="554">
        <f>G41+G42+G43+G44+G47+G48+G49</f>
        <v>38658371.010000005</v>
      </c>
      <c r="H177" s="549">
        <f>G177/G180</f>
        <v>4.5980028792186732E-2</v>
      </c>
      <c r="I177" s="545"/>
      <c r="J177" s="545"/>
      <c r="K177" s="545"/>
      <c r="L177" s="545"/>
      <c r="M177" s="545"/>
      <c r="N177" s="545"/>
      <c r="O177" s="546"/>
      <c r="P177" s="556"/>
      <c r="Q177" s="546"/>
      <c r="R177" s="546"/>
      <c r="S177" s="546"/>
      <c r="T177" s="546"/>
      <c r="Y177"/>
    </row>
    <row r="178" spans="1:25" s="7" customFormat="1" x14ac:dyDescent="0.25">
      <c r="A178" s="546"/>
      <c r="B178" s="546"/>
      <c r="C178" s="546"/>
      <c r="D178" s="546" t="s">
        <v>316</v>
      </c>
      <c r="E178" s="556">
        <f>G178/G107</f>
        <v>4.0225896159737991E-2</v>
      </c>
      <c r="F178" s="546"/>
      <c r="G178" s="554">
        <f>G55+G56+G57</f>
        <v>7178505.25</v>
      </c>
      <c r="H178" s="549">
        <f>G178/G180</f>
        <v>8.5380700080322277E-3</v>
      </c>
      <c r="I178" s="545"/>
      <c r="J178" s="545"/>
      <c r="K178" s="545"/>
      <c r="L178" s="545"/>
      <c r="M178" s="545"/>
      <c r="N178" s="545"/>
      <c r="O178" s="546"/>
      <c r="P178" s="556"/>
      <c r="Q178" s="546"/>
      <c r="R178" s="546"/>
      <c r="S178" s="546"/>
      <c r="T178" s="546"/>
      <c r="Y178"/>
    </row>
    <row r="179" spans="1:25" s="7" customFormat="1" x14ac:dyDescent="0.25">
      <c r="A179" s="546"/>
      <c r="B179" s="546"/>
      <c r="C179" s="546"/>
      <c r="D179" s="546"/>
      <c r="E179" s="556"/>
      <c r="F179" s="546"/>
      <c r="G179" s="554"/>
      <c r="H179" s="549"/>
      <c r="I179" s="545"/>
      <c r="J179" s="545"/>
      <c r="K179" s="545"/>
      <c r="L179" s="545"/>
      <c r="M179" s="545"/>
      <c r="N179" s="545"/>
      <c r="O179" s="546"/>
      <c r="P179" s="556"/>
      <c r="Q179" s="546"/>
      <c r="R179" s="546"/>
      <c r="S179" s="546"/>
      <c r="T179" s="546"/>
      <c r="Y179"/>
    </row>
    <row r="180" spans="1:25" s="7" customFormat="1" x14ac:dyDescent="0.25">
      <c r="A180" s="546"/>
      <c r="B180" s="546"/>
      <c r="C180" s="546"/>
      <c r="D180" s="546"/>
      <c r="E180" s="556">
        <f>E172+E173+E174+E175+E176+E177</f>
        <v>0.99146192999196758</v>
      </c>
      <c r="F180" s="546"/>
      <c r="G180" s="554">
        <f>SUM(G172:G179)</f>
        <v>840764393.26999998</v>
      </c>
      <c r="H180" s="549">
        <f>SUM(H172:H179)</f>
        <v>1</v>
      </c>
      <c r="I180" s="632">
        <f>G180/G170</f>
        <v>0.8249023218664987</v>
      </c>
      <c r="J180" s="545"/>
      <c r="K180" s="545"/>
      <c r="L180" s="545"/>
      <c r="M180" s="545"/>
      <c r="N180" s="545"/>
      <c r="O180" s="546"/>
      <c r="P180" s="556"/>
      <c r="Q180" s="546"/>
      <c r="R180" s="546"/>
      <c r="S180" s="546"/>
      <c r="T180" s="546"/>
      <c r="Y180"/>
    </row>
    <row r="181" spans="1:25" s="7" customFormat="1" x14ac:dyDescent="0.25">
      <c r="A181" s="546"/>
      <c r="B181" s="546"/>
      <c r="C181" s="546"/>
      <c r="D181" s="546"/>
      <c r="E181" s="546"/>
      <c r="F181" s="546"/>
      <c r="G181" s="554"/>
      <c r="H181" s="549"/>
      <c r="I181" s="545"/>
      <c r="J181" s="545"/>
      <c r="K181" s="545"/>
      <c r="L181" s="545"/>
      <c r="M181" s="545"/>
      <c r="N181" s="545"/>
      <c r="O181" s="546"/>
      <c r="P181" s="556"/>
      <c r="Q181" s="546"/>
      <c r="R181" s="546"/>
      <c r="S181" s="546"/>
      <c r="T181" s="546"/>
      <c r="Y181"/>
    </row>
    <row r="182" spans="1:25" s="7" customFormat="1" x14ac:dyDescent="0.25">
      <c r="A182" s="546"/>
      <c r="B182" s="546"/>
      <c r="C182" s="546"/>
      <c r="D182" s="546"/>
      <c r="E182" s="546"/>
      <c r="F182" s="546"/>
      <c r="G182" s="554"/>
      <c r="H182" s="549"/>
      <c r="I182" s="545"/>
      <c r="J182" s="545"/>
      <c r="K182" s="545"/>
      <c r="L182" s="545"/>
      <c r="M182" s="545"/>
      <c r="N182" s="545"/>
      <c r="O182" s="546"/>
      <c r="P182" s="556"/>
      <c r="Q182" s="546"/>
      <c r="R182" s="546"/>
      <c r="S182" s="546"/>
      <c r="T182" s="546"/>
      <c r="Y182"/>
    </row>
    <row r="183" spans="1:25" s="7" customFormat="1" x14ac:dyDescent="0.25">
      <c r="A183" s="546"/>
      <c r="B183" s="546"/>
      <c r="C183" s="546"/>
      <c r="D183" s="546"/>
      <c r="E183" s="546"/>
      <c r="F183" s="546"/>
      <c r="G183" s="554"/>
      <c r="H183" s="549"/>
      <c r="I183" s="545"/>
      <c r="J183" s="545"/>
      <c r="K183" s="545"/>
      <c r="L183" s="545"/>
      <c r="M183" s="545"/>
      <c r="N183" s="545"/>
      <c r="O183" s="546"/>
      <c r="P183" s="556"/>
      <c r="Q183" s="546"/>
      <c r="R183" s="546"/>
      <c r="S183" s="546"/>
      <c r="Y183"/>
    </row>
  </sheetData>
  <mergeCells count="53">
    <mergeCell ref="R87:R88"/>
    <mergeCell ref="S87:S88"/>
    <mergeCell ref="O90:O91"/>
    <mergeCell ref="P90:P92"/>
    <mergeCell ref="O76:O79"/>
    <mergeCell ref="P76:P79"/>
    <mergeCell ref="Q76:Q79"/>
    <mergeCell ref="O87:O88"/>
    <mergeCell ref="P87:P88"/>
    <mergeCell ref="Q87:Q88"/>
    <mergeCell ref="R76:R79"/>
    <mergeCell ref="S76:S79"/>
    <mergeCell ref="O81:O85"/>
    <mergeCell ref="P81:P85"/>
    <mergeCell ref="Q81:Q85"/>
    <mergeCell ref="R81:R85"/>
    <mergeCell ref="S81:S85"/>
    <mergeCell ref="O61:O62"/>
    <mergeCell ref="P61:P62"/>
    <mergeCell ref="Q61:Q62"/>
    <mergeCell ref="R61:R62"/>
    <mergeCell ref="S61:S62"/>
    <mergeCell ref="O66:O73"/>
    <mergeCell ref="P66:P73"/>
    <mergeCell ref="Q66:Q73"/>
    <mergeCell ref="R66:R73"/>
    <mergeCell ref="S66:S73"/>
    <mergeCell ref="O41:O49"/>
    <mergeCell ref="P41:P49"/>
    <mergeCell ref="Q41:Q49"/>
    <mergeCell ref="R41:R49"/>
    <mergeCell ref="S41:S49"/>
    <mergeCell ref="O55:O57"/>
    <mergeCell ref="P55:P57"/>
    <mergeCell ref="Q55:Q57"/>
    <mergeCell ref="R55:R57"/>
    <mergeCell ref="S55:S57"/>
    <mergeCell ref="O16:O28"/>
    <mergeCell ref="P16:P28"/>
    <mergeCell ref="Q16:Q28"/>
    <mergeCell ref="R16:R28"/>
    <mergeCell ref="S16:S28"/>
    <mergeCell ref="O32:O38"/>
    <mergeCell ref="P32:P38"/>
    <mergeCell ref="Q32:Q38"/>
    <mergeCell ref="R32:R38"/>
    <mergeCell ref="S32:S38"/>
    <mergeCell ref="S5:S14"/>
    <mergeCell ref="P3:R3"/>
    <mergeCell ref="O5:O14"/>
    <mergeCell ref="P5:P14"/>
    <mergeCell ref="Q5:Q14"/>
    <mergeCell ref="R5:R14"/>
  </mergeCells>
  <printOptions horizontalCentered="1"/>
  <pageMargins left="0" right="0" top="0" bottom="0" header="0.19685039370078741" footer="0.39370078740157483"/>
  <pageSetup paperSize="9" scale="61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85"/>
  <sheetViews>
    <sheetView topLeftCell="A85" zoomScale="98" zoomScaleNormal="98" workbookViewId="0">
      <selection activeCell="D157" sqref="D157"/>
    </sheetView>
  </sheetViews>
  <sheetFormatPr defaultRowHeight="15" x14ac:dyDescent="0.25"/>
  <cols>
    <col min="1" max="1" width="5" customWidth="1"/>
    <col min="2" max="2" width="30.140625" customWidth="1"/>
    <col min="3" max="3" width="0.28515625" customWidth="1"/>
    <col min="4" max="4" width="38.28515625" customWidth="1"/>
    <col min="5" max="5" width="7.7109375" bestFit="1" customWidth="1"/>
    <col min="6" max="6" width="6.28515625" customWidth="1"/>
    <col min="7" max="7" width="25.140625" style="1" bestFit="1" customWidth="1"/>
    <col min="8" max="8" width="11.5703125" style="291" customWidth="1"/>
    <col min="9" max="9" width="10.85546875" style="1" customWidth="1"/>
    <col min="10" max="10" width="7.5703125" style="1" customWidth="1"/>
    <col min="11" max="11" width="7.7109375" style="1" customWidth="1"/>
    <col min="12" max="12" width="9.140625" style="1" customWidth="1"/>
    <col min="13" max="13" width="14" style="294" bestFit="1" customWidth="1"/>
    <col min="14" max="14" width="8.140625" style="291" bestFit="1" customWidth="1"/>
    <col min="15" max="15" width="13.5703125" customWidth="1"/>
    <col min="16" max="16" width="7.28515625" customWidth="1"/>
    <col min="17" max="17" width="5" bestFit="1" customWidth="1"/>
    <col min="18" max="18" width="5.85546875" customWidth="1"/>
    <col min="19" max="19" width="23.7109375" bestFit="1" customWidth="1"/>
    <col min="20" max="24" width="14.42578125" style="7" customWidth="1"/>
    <col min="25" max="25" width="14.42578125" customWidth="1"/>
  </cols>
  <sheetData>
    <row r="1" spans="1:25" ht="16.5" customHeight="1" thickBot="1" x14ac:dyDescent="0.3">
      <c r="A1" s="1"/>
      <c r="B1" s="2" t="s">
        <v>344</v>
      </c>
      <c r="C1" s="3"/>
      <c r="D1" s="3"/>
      <c r="E1" s="3"/>
      <c r="F1" s="3"/>
      <c r="G1" s="3"/>
      <c r="H1" s="4"/>
      <c r="I1" s="3"/>
      <c r="J1" s="3"/>
      <c r="K1" s="3"/>
      <c r="L1" s="3"/>
      <c r="M1" s="5"/>
      <c r="N1" s="4"/>
      <c r="O1" s="3"/>
      <c r="P1" s="3"/>
      <c r="Q1" s="3"/>
      <c r="R1" s="3"/>
      <c r="S1" s="6"/>
    </row>
    <row r="2" spans="1:25" ht="15.75" customHeight="1" thickBot="1" x14ac:dyDescent="0.3">
      <c r="A2" s="8"/>
      <c r="B2" s="9" t="s">
        <v>0</v>
      </c>
      <c r="C2" s="10" t="s">
        <v>1</v>
      </c>
      <c r="D2" s="10" t="s">
        <v>2</v>
      </c>
      <c r="E2" s="11" t="s">
        <v>3</v>
      </c>
      <c r="F2" s="12" t="s">
        <v>3</v>
      </c>
      <c r="G2" s="13" t="s">
        <v>4</v>
      </c>
      <c r="H2" s="14"/>
      <c r="I2" s="15" t="s">
        <v>5</v>
      </c>
      <c r="J2" s="16"/>
      <c r="K2" s="16"/>
      <c r="L2" s="17"/>
      <c r="M2" s="18" t="s">
        <v>6</v>
      </c>
      <c r="N2" s="14"/>
      <c r="O2" s="19" t="s">
        <v>7</v>
      </c>
      <c r="P2" s="20" t="s">
        <v>8</v>
      </c>
      <c r="Q2" s="21"/>
      <c r="R2" s="22"/>
      <c r="S2" s="23" t="s">
        <v>9</v>
      </c>
      <c r="T2" s="7" t="s">
        <v>10</v>
      </c>
    </row>
    <row r="3" spans="1:25" ht="15.75" thickBot="1" x14ac:dyDescent="0.3">
      <c r="A3" s="8"/>
      <c r="B3" s="24"/>
      <c r="C3" s="25"/>
      <c r="D3" s="26"/>
      <c r="E3" s="27"/>
      <c r="F3" s="28"/>
      <c r="G3" s="29" t="s">
        <v>11</v>
      </c>
      <c r="H3" s="30" t="s">
        <v>12</v>
      </c>
      <c r="I3" s="31" t="s">
        <v>13</v>
      </c>
      <c r="J3" s="32" t="s">
        <v>14</v>
      </c>
      <c r="K3" s="33" t="s">
        <v>15</v>
      </c>
      <c r="L3" s="34"/>
      <c r="M3" s="35" t="s">
        <v>16</v>
      </c>
      <c r="N3" s="36" t="s">
        <v>17</v>
      </c>
      <c r="O3" s="37"/>
      <c r="P3" s="766" t="s">
        <v>18</v>
      </c>
      <c r="Q3" s="767"/>
      <c r="R3" s="768"/>
      <c r="S3" s="38" t="s">
        <v>19</v>
      </c>
      <c r="T3" s="39"/>
      <c r="U3" s="39"/>
      <c r="V3" s="39"/>
      <c r="W3" s="39"/>
      <c r="X3" s="39"/>
      <c r="Y3" s="39"/>
    </row>
    <row r="4" spans="1:25" s="53" customFormat="1" ht="12" customHeight="1" thickBot="1" x14ac:dyDescent="0.25">
      <c r="A4" s="40"/>
      <c r="B4" s="334" t="s">
        <v>163</v>
      </c>
      <c r="C4" s="335"/>
      <c r="D4" s="336"/>
      <c r="E4" s="336"/>
      <c r="F4" s="336"/>
      <c r="G4" s="582">
        <f>SUM(G5:G14)</f>
        <v>158822444.33000001</v>
      </c>
      <c r="H4" s="43">
        <f t="shared" ref="H4:H16" si="0">G4/$G$95</f>
        <v>0.15511711796986141</v>
      </c>
      <c r="I4" s="44"/>
      <c r="J4" s="44"/>
      <c r="K4" s="44"/>
      <c r="L4" s="44"/>
      <c r="M4" s="45"/>
      <c r="N4" s="46"/>
      <c r="O4" s="47"/>
      <c r="P4" s="48"/>
      <c r="Q4" s="49"/>
      <c r="R4" s="724"/>
      <c r="S4" s="51"/>
      <c r="T4" s="52"/>
      <c r="U4" s="52"/>
      <c r="V4" s="52"/>
      <c r="W4" s="52"/>
      <c r="X4" s="52"/>
      <c r="Y4" s="52"/>
    </row>
    <row r="5" spans="1:25" s="1" customFormat="1" ht="16.5" customHeight="1" x14ac:dyDescent="0.25">
      <c r="A5" s="8">
        <v>1</v>
      </c>
      <c r="B5" s="54" t="s">
        <v>21</v>
      </c>
      <c r="C5" s="55" t="s">
        <v>22</v>
      </c>
      <c r="D5" s="56" t="s">
        <v>23</v>
      </c>
      <c r="E5" s="57"/>
      <c r="F5" s="57"/>
      <c r="G5" s="384">
        <f>'[1]FFIN2 Junho 2018'!$G$5</f>
        <v>25702088.719999999</v>
      </c>
      <c r="H5" s="58">
        <f t="shared" si="0"/>
        <v>2.5102459195051E-2</v>
      </c>
      <c r="I5" s="666">
        <f>'[1]FFIN2 Junho 2018'!$I$5</f>
        <v>8.2000000000000007E-3</v>
      </c>
      <c r="J5" s="59" t="s">
        <v>24</v>
      </c>
      <c r="K5" s="59"/>
      <c r="L5" s="60"/>
      <c r="M5" s="61">
        <v>0</v>
      </c>
      <c r="N5" s="62"/>
      <c r="O5" s="769" t="s">
        <v>20</v>
      </c>
      <c r="P5" s="772">
        <f>SUM(G5:G14)/G95</f>
        <v>0.15511711796986141</v>
      </c>
      <c r="Q5" s="775">
        <v>1</v>
      </c>
      <c r="R5" s="778">
        <v>0.4</v>
      </c>
      <c r="S5" s="763" t="s">
        <v>169</v>
      </c>
      <c r="T5" s="63"/>
      <c r="U5" s="64"/>
      <c r="V5" s="63"/>
      <c r="W5" s="63"/>
      <c r="X5" s="63"/>
      <c r="Y5" s="65"/>
    </row>
    <row r="6" spans="1:25" s="1" customFormat="1" ht="18.75" thickBot="1" x14ac:dyDescent="0.3">
      <c r="A6" s="8">
        <v>2</v>
      </c>
      <c r="B6" s="66" t="s">
        <v>21</v>
      </c>
      <c r="C6" s="67" t="s">
        <v>22</v>
      </c>
      <c r="D6" s="68" t="s">
        <v>25</v>
      </c>
      <c r="E6" s="68"/>
      <c r="F6" s="69"/>
      <c r="G6" s="384">
        <f>'[1]FFIN2 Junho 2018'!$G$6</f>
        <v>11156770.17</v>
      </c>
      <c r="H6" s="58">
        <f t="shared" si="0"/>
        <v>1.0896482810872004E-2</v>
      </c>
      <c r="I6" s="71">
        <f>'[1]FFIN2 Junho 2018'!$I$6</f>
        <v>1.1999999999999999E-3</v>
      </c>
      <c r="J6" s="72" t="s">
        <v>26</v>
      </c>
      <c r="K6" s="73"/>
      <c r="L6" s="74"/>
      <c r="M6" s="75"/>
      <c r="N6" s="76"/>
      <c r="O6" s="770"/>
      <c r="P6" s="773"/>
      <c r="Q6" s="776"/>
      <c r="R6" s="779"/>
      <c r="S6" s="764"/>
      <c r="T6" s="63"/>
      <c r="U6" s="64"/>
      <c r="V6" s="63"/>
      <c r="W6" s="63"/>
      <c r="X6" s="63"/>
      <c r="Y6" s="65"/>
    </row>
    <row r="7" spans="1:25" s="1" customFormat="1" ht="18" x14ac:dyDescent="0.25">
      <c r="A7" s="8">
        <v>3</v>
      </c>
      <c r="B7" s="54" t="s">
        <v>21</v>
      </c>
      <c r="C7" s="55" t="s">
        <v>22</v>
      </c>
      <c r="D7" s="56" t="s">
        <v>27</v>
      </c>
      <c r="E7" s="77"/>
      <c r="F7" s="68"/>
      <c r="G7" s="362">
        <f>'[1]FFIN2 Junho 2018'!$G$7</f>
        <v>24256853.649999999</v>
      </c>
      <c r="H7" s="58">
        <f t="shared" si="0"/>
        <v>2.3690941447713162E-2</v>
      </c>
      <c r="I7" s="71">
        <f>'[1]FFIN2 Junho 2018'!$I$7</f>
        <v>3.5999999999999999E-3</v>
      </c>
      <c r="J7" s="59" t="s">
        <v>28</v>
      </c>
      <c r="K7" s="79"/>
      <c r="L7" s="726">
        <f>'[1]FFIN2 Junho 2018'!$L$7</f>
        <v>-0.107</v>
      </c>
      <c r="M7" s="81"/>
      <c r="N7" s="82"/>
      <c r="O7" s="770"/>
      <c r="P7" s="773"/>
      <c r="Q7" s="776"/>
      <c r="R7" s="779"/>
      <c r="S7" s="764"/>
      <c r="T7" s="63"/>
      <c r="U7" s="64"/>
      <c r="V7" s="63"/>
      <c r="W7" s="63"/>
      <c r="X7" s="63"/>
      <c r="Y7" s="65"/>
    </row>
    <row r="8" spans="1:25" s="1" customFormat="1" ht="18.75" thickBot="1" x14ac:dyDescent="0.3">
      <c r="A8" s="8">
        <v>4</v>
      </c>
      <c r="B8" s="54" t="s">
        <v>21</v>
      </c>
      <c r="C8" s="67" t="s">
        <v>22</v>
      </c>
      <c r="D8" s="83" t="s">
        <v>29</v>
      </c>
      <c r="E8" s="83"/>
      <c r="F8" s="68"/>
      <c r="G8" s="357">
        <f>'[1]FFIN2 Junho 2018'!$G$8</f>
        <v>27120063.68</v>
      </c>
      <c r="H8" s="58">
        <f t="shared" si="0"/>
        <v>2.648735281053783E-2</v>
      </c>
      <c r="I8" s="71">
        <f>'[1]FFIN2 Junho 2018'!$I$8</f>
        <v>-8.0000000000000002E-3</v>
      </c>
      <c r="J8" s="84" t="s">
        <v>30</v>
      </c>
      <c r="K8" s="79"/>
      <c r="L8" s="85"/>
      <c r="M8" s="75"/>
      <c r="N8" s="76"/>
      <c r="O8" s="770"/>
      <c r="P8" s="773"/>
      <c r="Q8" s="776"/>
      <c r="R8" s="779"/>
      <c r="S8" s="764"/>
      <c r="T8" s="63"/>
      <c r="U8" s="64"/>
      <c r="V8" s="63"/>
      <c r="W8" s="63"/>
      <c r="X8" s="63"/>
      <c r="Y8" s="65"/>
    </row>
    <row r="9" spans="1:25" s="1" customFormat="1" ht="18" x14ac:dyDescent="0.25">
      <c r="A9" s="8">
        <v>5</v>
      </c>
      <c r="B9" s="66" t="s">
        <v>21</v>
      </c>
      <c r="C9" s="368" t="s">
        <v>22</v>
      </c>
      <c r="D9" s="83" t="s">
        <v>31</v>
      </c>
      <c r="E9" s="83"/>
      <c r="F9" s="77"/>
      <c r="G9" s="362">
        <f>'[1]FFIN2 Junho 2018'!$G$9</f>
        <v>11007555.26</v>
      </c>
      <c r="H9" s="58">
        <f t="shared" si="0"/>
        <v>1.0750749083532811E-2</v>
      </c>
      <c r="I9" s="670">
        <f>'[1]FFIN2 Junho 2018'!$I$9</f>
        <v>-8.0000000000000002E-3</v>
      </c>
      <c r="J9" s="369" t="s">
        <v>32</v>
      </c>
      <c r="K9" s="370"/>
      <c r="L9" s="371"/>
      <c r="M9" s="75"/>
      <c r="N9" s="86"/>
      <c r="O9" s="770"/>
      <c r="P9" s="773"/>
      <c r="Q9" s="776"/>
      <c r="R9" s="779"/>
      <c r="S9" s="764"/>
      <c r="T9" s="63"/>
      <c r="U9" s="64"/>
      <c r="V9" s="63"/>
      <c r="W9" s="63"/>
      <c r="X9" s="63"/>
      <c r="Y9" s="65"/>
    </row>
    <row r="10" spans="1:25" s="1" customFormat="1" ht="18" x14ac:dyDescent="0.25">
      <c r="A10" s="8">
        <v>6</v>
      </c>
      <c r="B10" s="54" t="s">
        <v>21</v>
      </c>
      <c r="C10" s="136" t="s">
        <v>22</v>
      </c>
      <c r="D10" s="68" t="s">
        <v>33</v>
      </c>
      <c r="E10" s="68"/>
      <c r="F10" s="68"/>
      <c r="G10" s="384">
        <f>'[1]FFIN2 Junho 2018'!$G$10</f>
        <v>19143574.359999999</v>
      </c>
      <c r="H10" s="58">
        <f t="shared" si="0"/>
        <v>1.869695492278748E-2</v>
      </c>
      <c r="I10" s="71">
        <f>'[1]FFIN2 Junho 2018'!$I$10</f>
        <v>-8.0000000000000002E-3</v>
      </c>
      <c r="J10" s="72" t="s">
        <v>34</v>
      </c>
      <c r="K10" s="79"/>
      <c r="L10" s="79"/>
      <c r="M10" s="61"/>
      <c r="N10" s="76"/>
      <c r="O10" s="770"/>
      <c r="P10" s="773"/>
      <c r="Q10" s="776"/>
      <c r="R10" s="779"/>
      <c r="S10" s="764"/>
      <c r="T10" s="64"/>
      <c r="U10" s="64"/>
      <c r="V10" s="63"/>
      <c r="W10" s="64"/>
      <c r="X10" s="64"/>
      <c r="Y10" s="90"/>
    </row>
    <row r="11" spans="1:25" s="1" customFormat="1" ht="18" x14ac:dyDescent="0.25">
      <c r="A11" s="8"/>
      <c r="B11" s="372" t="s">
        <v>192</v>
      </c>
      <c r="C11" s="55" t="s">
        <v>22</v>
      </c>
      <c r="D11" s="56" t="s">
        <v>187</v>
      </c>
      <c r="E11" s="56"/>
      <c r="F11" s="56"/>
      <c r="G11" s="357">
        <f>'[2]FFPREV Junho 2018'!$G$5</f>
        <v>12851044.359999999</v>
      </c>
      <c r="H11" s="58">
        <f t="shared" si="0"/>
        <v>1.25512295975255E-2</v>
      </c>
      <c r="I11" s="671">
        <f>'[2]FFPREV Junho 2018'!$I$5</f>
        <v>8.2000000000000007E-3</v>
      </c>
      <c r="J11" s="359" t="s">
        <v>24</v>
      </c>
      <c r="K11" s="359"/>
      <c r="L11" s="374"/>
      <c r="M11" s="153"/>
      <c r="N11" s="375"/>
      <c r="O11" s="770"/>
      <c r="P11" s="773"/>
      <c r="Q11" s="776"/>
      <c r="R11" s="779"/>
      <c r="S11" s="764"/>
      <c r="T11" s="64"/>
      <c r="U11" s="64"/>
      <c r="V11" s="63"/>
      <c r="W11" s="64"/>
      <c r="X11" s="64"/>
      <c r="Y11" s="90"/>
    </row>
    <row r="12" spans="1:25" s="1" customFormat="1" ht="18.75" thickBot="1" x14ac:dyDescent="0.3">
      <c r="A12" s="8"/>
      <c r="B12" s="361" t="s">
        <v>192</v>
      </c>
      <c r="C12" s="67" t="s">
        <v>22</v>
      </c>
      <c r="D12" s="68" t="s">
        <v>188</v>
      </c>
      <c r="E12" s="83"/>
      <c r="F12" s="83"/>
      <c r="G12" s="362">
        <f>'[2]FFPREV Junho 2018'!$G$6</f>
        <v>6383382.54</v>
      </c>
      <c r="H12" s="58">
        <f t="shared" si="0"/>
        <v>6.2344582762280266E-3</v>
      </c>
      <c r="I12" s="666">
        <f>'[2]FFPREV Junho 2018'!$I$6</f>
        <v>3.5999999999999999E-3</v>
      </c>
      <c r="J12" s="351" t="s">
        <v>26</v>
      </c>
      <c r="K12" s="352"/>
      <c r="L12" s="353"/>
      <c r="M12" s="153"/>
      <c r="N12" s="76"/>
      <c r="O12" s="770"/>
      <c r="P12" s="773"/>
      <c r="Q12" s="776"/>
      <c r="R12" s="779"/>
      <c r="S12" s="764"/>
      <c r="T12" s="64"/>
      <c r="U12" s="64"/>
      <c r="V12" s="63"/>
      <c r="W12" s="64"/>
      <c r="X12" s="64"/>
      <c r="Y12" s="90"/>
    </row>
    <row r="13" spans="1:25" s="1" customFormat="1" ht="18.75" thickBot="1" x14ac:dyDescent="0.3">
      <c r="A13" s="8"/>
      <c r="B13" s="361" t="s">
        <v>192</v>
      </c>
      <c r="C13" s="67" t="s">
        <v>22</v>
      </c>
      <c r="D13" s="68" t="s">
        <v>189</v>
      </c>
      <c r="E13" s="83"/>
      <c r="F13" s="83"/>
      <c r="G13" s="364">
        <f>'[2]FFPREV Junho 2018'!$G$7</f>
        <v>10991205.27</v>
      </c>
      <c r="H13" s="58">
        <f t="shared" si="0"/>
        <v>1.0734780538669175E-2</v>
      </c>
      <c r="I13" s="71">
        <f>'[2]FFPREV Junho 2018'!$I$7</f>
        <v>-6.0000000000000001E-3</v>
      </c>
      <c r="J13" s="354" t="s">
        <v>190</v>
      </c>
      <c r="K13" s="352"/>
      <c r="L13" s="360"/>
      <c r="M13" s="153"/>
      <c r="N13" s="76"/>
      <c r="O13" s="770"/>
      <c r="P13" s="773"/>
      <c r="Q13" s="776"/>
      <c r="R13" s="779"/>
      <c r="S13" s="764"/>
      <c r="T13" s="64"/>
      <c r="U13" s="64"/>
      <c r="V13" s="63"/>
      <c r="W13" s="64"/>
      <c r="X13" s="64"/>
      <c r="Y13" s="90"/>
    </row>
    <row r="14" spans="1:25" s="1" customFormat="1" ht="18.75" thickBot="1" x14ac:dyDescent="0.3">
      <c r="A14" s="8"/>
      <c r="B14" s="365" t="s">
        <v>193</v>
      </c>
      <c r="C14" s="67" t="s">
        <v>22</v>
      </c>
      <c r="D14" s="88" t="s">
        <v>191</v>
      </c>
      <c r="E14" s="88"/>
      <c r="F14" s="88"/>
      <c r="G14" s="366">
        <f>'[2]FFPREV Junho 2018'!$G$8</f>
        <v>10209906.32</v>
      </c>
      <c r="H14" s="58">
        <f t="shared" si="0"/>
        <v>9.9717092869444166E-3</v>
      </c>
      <c r="I14" s="674">
        <f>'[2]FFPREV Junho 2018'!$I$8</f>
        <v>-8.0000000000000002E-3</v>
      </c>
      <c r="J14" s="355" t="s">
        <v>30</v>
      </c>
      <c r="K14" s="355"/>
      <c r="L14" s="356"/>
      <c r="M14" s="170"/>
      <c r="N14" s="76"/>
      <c r="O14" s="771"/>
      <c r="P14" s="774"/>
      <c r="Q14" s="777"/>
      <c r="R14" s="780"/>
      <c r="S14" s="765"/>
      <c r="T14" s="64"/>
      <c r="U14" s="64"/>
      <c r="V14" s="63"/>
      <c r="W14" s="64"/>
      <c r="X14" s="64"/>
      <c r="Y14" s="90"/>
    </row>
    <row r="15" spans="1:25" s="53" customFormat="1" ht="18.75" thickBot="1" x14ac:dyDescent="0.25">
      <c r="A15" s="40"/>
      <c r="B15" s="334" t="s">
        <v>164</v>
      </c>
      <c r="C15" s="335"/>
      <c r="D15" s="336"/>
      <c r="E15" s="336"/>
      <c r="F15" s="336"/>
      <c r="G15" s="582">
        <f>SUM(G16:G28)</f>
        <v>411010313.71000004</v>
      </c>
      <c r="H15" s="58">
        <f t="shared" si="0"/>
        <v>0.40142144636758481</v>
      </c>
      <c r="I15" s="91"/>
      <c r="J15" s="92"/>
      <c r="K15" s="92"/>
      <c r="L15" s="44"/>
      <c r="M15" s="93"/>
      <c r="N15" s="131"/>
      <c r="O15" s="572"/>
      <c r="P15" s="320"/>
      <c r="Q15" s="721"/>
      <c r="R15" s="721"/>
      <c r="S15" s="573"/>
      <c r="T15" s="52"/>
      <c r="U15" s="52"/>
      <c r="V15" s="52"/>
      <c r="W15" s="52"/>
      <c r="X15" s="52"/>
      <c r="Y15" s="52"/>
    </row>
    <row r="16" spans="1:25" s="1" customFormat="1" ht="15.75" customHeight="1" thickBot="1" x14ac:dyDescent="0.3">
      <c r="A16" s="8">
        <v>7</v>
      </c>
      <c r="B16" s="636" t="s">
        <v>35</v>
      </c>
      <c r="C16" s="98" t="s">
        <v>36</v>
      </c>
      <c r="D16" s="99" t="s">
        <v>37</v>
      </c>
      <c r="E16" s="653" t="s">
        <v>38</v>
      </c>
      <c r="F16" s="100" t="s">
        <v>39</v>
      </c>
      <c r="G16" s="583">
        <f>'[1]FFIN2 Junho 2018'!$G$12</f>
        <v>67350221.519999996</v>
      </c>
      <c r="H16" s="199">
        <f t="shared" si="0"/>
        <v>6.5778941388832224E-2</v>
      </c>
      <c r="I16" s="432">
        <f>'[1]FFIN2 Junho 2018'!$I$12</f>
        <v>4.4000000000000003E-3</v>
      </c>
      <c r="J16" s="637"/>
      <c r="K16" s="144"/>
      <c r="L16" s="145" t="s">
        <v>40</v>
      </c>
      <c r="M16" s="638">
        <f>'[1]FFIN2 Junho 2018'!$M$12</f>
        <v>1137325220.3800001</v>
      </c>
      <c r="N16" s="106">
        <f t="shared" ref="N16:N28" si="1">G16/M16</f>
        <v>5.9218084953305716E-2</v>
      </c>
      <c r="O16" s="781" t="s">
        <v>41</v>
      </c>
      <c r="P16" s="784">
        <f>(SUM(G16:G28)/G95)</f>
        <v>0.40142144636758481</v>
      </c>
      <c r="Q16" s="787">
        <v>1</v>
      </c>
      <c r="R16" s="790">
        <v>0.5</v>
      </c>
      <c r="S16" s="793" t="s">
        <v>296</v>
      </c>
      <c r="T16" s="64"/>
      <c r="U16" s="64"/>
      <c r="V16" s="63"/>
      <c r="W16" s="64"/>
      <c r="X16" s="64"/>
      <c r="Y16" s="90"/>
    </row>
    <row r="17" spans="1:25" s="1" customFormat="1" ht="15.75" customHeight="1" thickBot="1" x14ac:dyDescent="0.3">
      <c r="A17" s="8"/>
      <c r="B17" s="54" t="s">
        <v>35</v>
      </c>
      <c r="C17" s="98" t="s">
        <v>77</v>
      </c>
      <c r="D17" s="68" t="s">
        <v>330</v>
      </c>
      <c r="E17" s="190" t="s">
        <v>38</v>
      </c>
      <c r="F17" s="115" t="s">
        <v>39</v>
      </c>
      <c r="G17" s="384">
        <f>'[1]FFIN2 Junho 2018'!$G$13</f>
        <v>24664865.18</v>
      </c>
      <c r="H17" s="78">
        <f>G17/$G$72</f>
        <v>3.6111910234140701</v>
      </c>
      <c r="I17" s="358">
        <f>'[1]FFIN2 Junho 2018'!$I$13</f>
        <v>-2.0000000000000001E-4</v>
      </c>
      <c r="J17" s="111"/>
      <c r="K17" s="147"/>
      <c r="L17" s="118" t="s">
        <v>40</v>
      </c>
      <c r="M17" s="445">
        <f>'[1]FFIN2 Junho 2018'!$M$13</f>
        <v>2084814916.3499999</v>
      </c>
      <c r="N17" s="119">
        <f t="shared" si="1"/>
        <v>1.1830721752117034E-2</v>
      </c>
      <c r="O17" s="782"/>
      <c r="P17" s="785"/>
      <c r="Q17" s="788"/>
      <c r="R17" s="791"/>
      <c r="S17" s="794"/>
      <c r="T17" s="64"/>
      <c r="U17" s="64"/>
      <c r="V17" s="63"/>
      <c r="W17" s="64"/>
      <c r="X17" s="64"/>
      <c r="Y17" s="90"/>
    </row>
    <row r="18" spans="1:25" s="1" customFormat="1" ht="15.75" customHeight="1" thickBot="1" x14ac:dyDescent="0.3">
      <c r="A18" s="8"/>
      <c r="B18" s="54" t="s">
        <v>322</v>
      </c>
      <c r="C18" s="98" t="s">
        <v>36</v>
      </c>
      <c r="D18" s="83" t="s">
        <v>37</v>
      </c>
      <c r="E18" s="110" t="s">
        <v>38</v>
      </c>
      <c r="F18" s="115" t="s">
        <v>39</v>
      </c>
      <c r="G18" s="384">
        <f>'[2]FFPREV Junho 2018'!$G$10</f>
        <v>19921629.359999999</v>
      </c>
      <c r="H18" s="70">
        <f>G18/$G$95</f>
        <v>1.945685790583988E-2</v>
      </c>
      <c r="I18" s="358">
        <f>'[2]FFPREV Junho 2018'!$I$10</f>
        <v>4.4000000000000003E-3</v>
      </c>
      <c r="J18" s="111"/>
      <c r="K18" s="147"/>
      <c r="L18" s="118" t="s">
        <v>40</v>
      </c>
      <c r="M18" s="445">
        <f>'[2]FFPREV Junho 2018'!$M$10</f>
        <v>1137325220.3800001</v>
      </c>
      <c r="N18" s="128">
        <f t="shared" si="1"/>
        <v>1.7516211724684903E-2</v>
      </c>
      <c r="O18" s="782"/>
      <c r="P18" s="785"/>
      <c r="Q18" s="788"/>
      <c r="R18" s="791"/>
      <c r="S18" s="794"/>
      <c r="T18" s="64"/>
      <c r="U18" s="64"/>
      <c r="V18" s="63"/>
      <c r="W18" s="64"/>
      <c r="X18" s="64"/>
      <c r="Y18" s="90"/>
    </row>
    <row r="19" spans="1:25" s="1" customFormat="1" ht="15.75" customHeight="1" x14ac:dyDescent="0.25">
      <c r="A19" s="8"/>
      <c r="B19" s="107" t="s">
        <v>331</v>
      </c>
      <c r="C19" s="98" t="s">
        <v>77</v>
      </c>
      <c r="D19" s="83" t="s">
        <v>330</v>
      </c>
      <c r="E19" s="190" t="s">
        <v>38</v>
      </c>
      <c r="F19" s="115" t="s">
        <v>39</v>
      </c>
      <c r="G19" s="364">
        <f>'[2]FFPREV Junho 2018'!$G$11</f>
        <v>9865946.0700000003</v>
      </c>
      <c r="H19" s="78">
        <f>G19/$G$36</f>
        <v>0.35798887739314339</v>
      </c>
      <c r="I19" s="373">
        <f>'[2]FFPREV Junho 2018'!$I$11</f>
        <v>-2.0000000000000001E-4</v>
      </c>
      <c r="J19" s="411"/>
      <c r="K19" s="147"/>
      <c r="L19" s="118" t="s">
        <v>40</v>
      </c>
      <c r="M19" s="445">
        <f>'[2]FFPREV Junho 2018'!$M$11</f>
        <v>2084814916.3499999</v>
      </c>
      <c r="N19" s="128">
        <f t="shared" si="1"/>
        <v>4.7322886998874963E-3</v>
      </c>
      <c r="O19" s="782"/>
      <c r="P19" s="785"/>
      <c r="Q19" s="788"/>
      <c r="R19" s="791"/>
      <c r="S19" s="794"/>
      <c r="T19" s="64"/>
      <c r="U19" s="64"/>
      <c r="V19" s="63"/>
      <c r="W19" s="64"/>
      <c r="X19" s="64"/>
      <c r="Y19" s="90"/>
    </row>
    <row r="20" spans="1:25" s="1" customFormat="1" ht="15.75" customHeight="1" thickBot="1" x14ac:dyDescent="0.3">
      <c r="A20" s="8">
        <v>8</v>
      </c>
      <c r="B20" s="107" t="s">
        <v>42</v>
      </c>
      <c r="C20" s="108" t="s">
        <v>43</v>
      </c>
      <c r="D20" s="56" t="s">
        <v>44</v>
      </c>
      <c r="E20" s="109" t="s">
        <v>38</v>
      </c>
      <c r="F20" s="110" t="s">
        <v>39</v>
      </c>
      <c r="G20" s="384">
        <f>'[1]FFIN2 Junho 2018'!$G$14</f>
        <v>29523148.780000001</v>
      </c>
      <c r="H20" s="70">
        <f t="shared" ref="H20:H27" si="2">G20/$G$95</f>
        <v>2.8834373954311435E-2</v>
      </c>
      <c r="I20" s="376">
        <f>'[1]FFIN2 Junho 2018'!$I$14</f>
        <v>1.46E-4</v>
      </c>
      <c r="J20" s="111"/>
      <c r="K20" s="112"/>
      <c r="L20" s="113" t="s">
        <v>45</v>
      </c>
      <c r="M20" s="418">
        <f>'[1]FFIN2 Junho 2018'!$M$14</f>
        <v>5450225090.3400002</v>
      </c>
      <c r="N20" s="114">
        <f t="shared" si="1"/>
        <v>5.4168677973184896E-3</v>
      </c>
      <c r="O20" s="782"/>
      <c r="P20" s="785"/>
      <c r="Q20" s="788"/>
      <c r="R20" s="791"/>
      <c r="S20" s="794"/>
      <c r="T20" s="64"/>
      <c r="U20" s="64"/>
      <c r="V20" s="63"/>
      <c r="W20" s="64"/>
      <c r="X20" s="64"/>
      <c r="Y20" s="90"/>
    </row>
    <row r="21" spans="1:25" s="1" customFormat="1" ht="15.75" customHeight="1" thickBot="1" x14ac:dyDescent="0.3">
      <c r="A21" s="8"/>
      <c r="B21" s="107" t="s">
        <v>194</v>
      </c>
      <c r="C21" s="108" t="s">
        <v>43</v>
      </c>
      <c r="D21" s="56" t="s">
        <v>44</v>
      </c>
      <c r="E21" s="109" t="s">
        <v>38</v>
      </c>
      <c r="F21" s="110" t="s">
        <v>39</v>
      </c>
      <c r="G21" s="357">
        <f>'[2]FFPREV Junho 2018'!$G$12</f>
        <v>17701026.960000001</v>
      </c>
      <c r="H21" s="70">
        <f t="shared" si="2"/>
        <v>1.7288062142129967E-2</v>
      </c>
      <c r="I21" s="376">
        <f>'[2]FFPREV Junho 2018'!$I$12</f>
        <v>1E-4</v>
      </c>
      <c r="J21" s="111"/>
      <c r="K21" s="377"/>
      <c r="L21" s="211" t="s">
        <v>45</v>
      </c>
      <c r="M21" s="419">
        <f>'[2]FFPREV Junho 2018'!$M$12</f>
        <v>5450225090.3400002</v>
      </c>
      <c r="N21" s="378">
        <f t="shared" si="1"/>
        <v>3.2477607193459532E-3</v>
      </c>
      <c r="O21" s="782"/>
      <c r="P21" s="785"/>
      <c r="Q21" s="788"/>
      <c r="R21" s="791"/>
      <c r="S21" s="794"/>
      <c r="T21" s="64"/>
      <c r="U21" s="64"/>
      <c r="V21" s="63"/>
      <c r="W21" s="64"/>
      <c r="X21" s="64"/>
      <c r="Y21" s="90"/>
    </row>
    <row r="22" spans="1:25" s="1" customFormat="1" ht="15.75" customHeight="1" thickBot="1" x14ac:dyDescent="0.3">
      <c r="A22" s="8"/>
      <c r="B22" s="54" t="s">
        <v>55</v>
      </c>
      <c r="C22" s="98" t="s">
        <v>36</v>
      </c>
      <c r="D22" s="68" t="s">
        <v>56</v>
      </c>
      <c r="E22" s="124" t="s">
        <v>38</v>
      </c>
      <c r="F22" s="124" t="s">
        <v>39</v>
      </c>
      <c r="G22" s="386">
        <f>'[1]FFIN2 Junho 2018'!$G$18</f>
        <v>6961499.46</v>
      </c>
      <c r="H22" s="70">
        <f t="shared" si="2"/>
        <v>6.7990877330929853E-3</v>
      </c>
      <c r="I22" s="358">
        <f>'[1]FFIN2 Junho 2018'!$I$18</f>
        <v>4.1000000000000003E-3</v>
      </c>
      <c r="J22" s="125"/>
      <c r="K22" s="126"/>
      <c r="L22" s="127" t="s">
        <v>53</v>
      </c>
      <c r="M22" s="420">
        <f>'[1]FFIN2 Junho 2018'!$M$18</f>
        <v>1315428330.5799999</v>
      </c>
      <c r="N22" s="128">
        <f t="shared" si="1"/>
        <v>5.292192131007646E-3</v>
      </c>
      <c r="O22" s="782"/>
      <c r="P22" s="785"/>
      <c r="Q22" s="788"/>
      <c r="R22" s="791"/>
      <c r="S22" s="794"/>
      <c r="T22" s="64"/>
      <c r="U22" s="64"/>
      <c r="V22" s="63"/>
      <c r="W22" s="64"/>
      <c r="X22" s="64"/>
      <c r="Y22" s="90"/>
    </row>
    <row r="23" spans="1:25" s="1" customFormat="1" ht="15.75" customHeight="1" x14ac:dyDescent="0.25">
      <c r="A23" s="8">
        <v>9</v>
      </c>
      <c r="B23" s="107" t="s">
        <v>46</v>
      </c>
      <c r="C23" s="98" t="s">
        <v>36</v>
      </c>
      <c r="D23" s="68" t="s">
        <v>47</v>
      </c>
      <c r="E23" s="115" t="s">
        <v>48</v>
      </c>
      <c r="F23" s="115" t="s">
        <v>49</v>
      </c>
      <c r="G23" s="384">
        <f>'[1]FFIN2 Junho 2018'!$G$15</f>
        <v>12202951.310000001</v>
      </c>
      <c r="H23" s="78">
        <f t="shared" si="2"/>
        <v>1.1918256553215616E-2</v>
      </c>
      <c r="I23" s="363">
        <f>'[1]FFIN2 Junho 2018'!$I$15</f>
        <v>-6.4000000000000003E-3</v>
      </c>
      <c r="J23" s="117"/>
      <c r="K23" s="112"/>
      <c r="L23" s="118" t="s">
        <v>40</v>
      </c>
      <c r="M23" s="418">
        <f>'[1]FFIN2 Junho 2018'!$M$15</f>
        <v>266769930.24000001</v>
      </c>
      <c r="N23" s="119">
        <f t="shared" si="1"/>
        <v>4.574335382935249E-2</v>
      </c>
      <c r="O23" s="782"/>
      <c r="P23" s="785"/>
      <c r="Q23" s="788"/>
      <c r="R23" s="791"/>
      <c r="S23" s="794"/>
      <c r="T23" s="64"/>
      <c r="U23" s="64"/>
      <c r="V23" s="63"/>
      <c r="W23" s="64"/>
      <c r="X23" s="64"/>
      <c r="Y23" s="90"/>
    </row>
    <row r="24" spans="1:25" s="1" customFormat="1" ht="18.75" thickBot="1" x14ac:dyDescent="0.3">
      <c r="A24" s="8">
        <v>10</v>
      </c>
      <c r="B24" s="120" t="s">
        <v>50</v>
      </c>
      <c r="C24" s="88" t="s">
        <v>51</v>
      </c>
      <c r="D24" s="68" t="s">
        <v>52</v>
      </c>
      <c r="E24" s="110" t="s">
        <v>38</v>
      </c>
      <c r="F24" s="110" t="s">
        <v>38</v>
      </c>
      <c r="G24" s="585">
        <f>'[1]FFIN2 Junho 2018'!$G$16</f>
        <v>53005172.539999999</v>
      </c>
      <c r="H24" s="204">
        <f t="shared" si="2"/>
        <v>5.1768562287181609E-2</v>
      </c>
      <c r="I24" s="358">
        <f>'[1]FFIN2 Junho 2018'!$I$16</f>
        <v>4.2069999999999998E-3</v>
      </c>
      <c r="J24" s="121"/>
      <c r="K24" s="122"/>
      <c r="L24" s="123" t="s">
        <v>53</v>
      </c>
      <c r="M24" s="421">
        <f>'[1]FFIN2 Junho 2018'!$M$16</f>
        <v>7668949035.8800001</v>
      </c>
      <c r="N24" s="119">
        <f t="shared" si="1"/>
        <v>6.91166055374858E-3</v>
      </c>
      <c r="O24" s="782"/>
      <c r="P24" s="785"/>
      <c r="Q24" s="788"/>
      <c r="R24" s="791"/>
      <c r="S24" s="794"/>
      <c r="T24" s="64"/>
      <c r="U24" s="64"/>
      <c r="V24" s="63"/>
      <c r="W24" s="64"/>
      <c r="X24" s="64"/>
      <c r="Y24" s="90"/>
    </row>
    <row r="25" spans="1:25" s="1" customFormat="1" ht="18.75" thickBot="1" x14ac:dyDescent="0.3">
      <c r="A25" s="8">
        <v>11</v>
      </c>
      <c r="B25" s="120" t="s">
        <v>50</v>
      </c>
      <c r="C25" s="88" t="s">
        <v>51</v>
      </c>
      <c r="D25" s="68" t="s">
        <v>54</v>
      </c>
      <c r="E25" s="110" t="s">
        <v>38</v>
      </c>
      <c r="F25" s="110" t="s">
        <v>38</v>
      </c>
      <c r="G25" s="585">
        <f>'[1]FFIN2 Junho 2018'!$G$17</f>
        <v>81213442.439999998</v>
      </c>
      <c r="H25" s="78">
        <f t="shared" si="2"/>
        <v>7.9318733475281664E-2</v>
      </c>
      <c r="I25" s="358">
        <f>'[1]FFIN2 Junho 2018'!$I$17</f>
        <v>3.4200000000000002E-4</v>
      </c>
      <c r="J25" s="121"/>
      <c r="K25" s="122"/>
      <c r="L25" s="123" t="s">
        <v>53</v>
      </c>
      <c r="M25" s="421">
        <f>'[1]FFIN2 Junho 2018'!$M$17</f>
        <v>2475197893.0100002</v>
      </c>
      <c r="N25" s="119">
        <f t="shared" si="1"/>
        <v>3.2810888644236529E-2</v>
      </c>
      <c r="O25" s="782"/>
      <c r="P25" s="785"/>
      <c r="Q25" s="788"/>
      <c r="R25" s="791"/>
      <c r="S25" s="794"/>
      <c r="T25" s="64"/>
      <c r="U25" s="64"/>
      <c r="V25" s="63"/>
      <c r="W25" s="64"/>
      <c r="X25" s="64"/>
      <c r="Y25" s="90"/>
    </row>
    <row r="26" spans="1:25" s="1" customFormat="1" ht="18.75" thickBot="1" x14ac:dyDescent="0.3">
      <c r="A26" s="8"/>
      <c r="B26" s="120" t="s">
        <v>196</v>
      </c>
      <c r="C26" s="88" t="s">
        <v>51</v>
      </c>
      <c r="D26" s="68" t="s">
        <v>54</v>
      </c>
      <c r="E26" s="115" t="s">
        <v>38</v>
      </c>
      <c r="F26" s="115" t="s">
        <v>38</v>
      </c>
      <c r="G26" s="364">
        <f>'[2]FFPREV Junho 2018'!$G$13</f>
        <v>41556221.369999997</v>
      </c>
      <c r="H26" s="204">
        <f t="shared" si="2"/>
        <v>4.058671505671043E-2</v>
      </c>
      <c r="I26" s="358">
        <f>'[2]FFPREV Junho 2018'!$I$13</f>
        <v>3.4200000000000002E-4</v>
      </c>
      <c r="J26" s="379"/>
      <c r="K26" s="380"/>
      <c r="L26" s="381" t="s">
        <v>53</v>
      </c>
      <c r="M26" s="422">
        <f>'[2]FFPREV Junho 2018'!$M$13</f>
        <v>2475197893.0100002</v>
      </c>
      <c r="N26" s="119">
        <f t="shared" si="1"/>
        <v>1.6789050074483117E-2</v>
      </c>
      <c r="O26" s="782"/>
      <c r="P26" s="785"/>
      <c r="Q26" s="788"/>
      <c r="R26" s="791"/>
      <c r="S26" s="794"/>
      <c r="T26" s="64"/>
      <c r="U26" s="64"/>
      <c r="V26" s="63"/>
      <c r="W26" s="64"/>
      <c r="X26" s="64"/>
      <c r="Y26" s="90"/>
    </row>
    <row r="27" spans="1:25" s="1" customFormat="1" ht="18" x14ac:dyDescent="0.25">
      <c r="A27" s="8">
        <v>12</v>
      </c>
      <c r="B27" s="54" t="s">
        <v>196</v>
      </c>
      <c r="C27" s="197" t="s">
        <v>51</v>
      </c>
      <c r="D27" s="83" t="s">
        <v>197</v>
      </c>
      <c r="E27" s="115" t="s">
        <v>38</v>
      </c>
      <c r="F27" s="115" t="s">
        <v>38</v>
      </c>
      <c r="G27" s="364">
        <f>'[2]FFPREV Junho 2018'!$G$14</f>
        <v>42380914.369999997</v>
      </c>
      <c r="H27" s="70">
        <f t="shared" si="2"/>
        <v>4.1392167975594613E-2</v>
      </c>
      <c r="I27" s="358">
        <f>'[2]FFPREV Junho 2018'!$I$14</f>
        <v>4.2069999999999998E-3</v>
      </c>
      <c r="J27" s="125"/>
      <c r="K27" s="383"/>
      <c r="L27" s="381" t="s">
        <v>53</v>
      </c>
      <c r="M27" s="423">
        <f>'[2]FFPREV Junho 2018'!$M$14</f>
        <v>7668949035.8800001</v>
      </c>
      <c r="N27" s="119">
        <f t="shared" si="1"/>
        <v>5.5263001712120329E-3</v>
      </c>
      <c r="O27" s="782"/>
      <c r="P27" s="785"/>
      <c r="Q27" s="788"/>
      <c r="R27" s="791"/>
      <c r="S27" s="794"/>
      <c r="T27" s="64"/>
      <c r="U27" s="64"/>
      <c r="V27" s="63"/>
      <c r="W27" s="64"/>
      <c r="X27" s="64"/>
      <c r="Y27" s="90"/>
    </row>
    <row r="28" spans="1:25" s="1" customFormat="1" ht="18.75" thickBot="1" x14ac:dyDescent="0.3">
      <c r="A28" s="129">
        <v>13</v>
      </c>
      <c r="B28" s="662" t="s">
        <v>212</v>
      </c>
      <c r="C28" s="87" t="s">
        <v>100</v>
      </c>
      <c r="D28" s="210" t="s">
        <v>338</v>
      </c>
      <c r="E28" s="110" t="s">
        <v>38</v>
      </c>
      <c r="F28" s="110" t="s">
        <v>39</v>
      </c>
      <c r="G28" s="457">
        <f>'[2]FFPREV Junho 2018'!$G$15</f>
        <v>4663274.3499999996</v>
      </c>
      <c r="H28" s="78">
        <f t="shared" ref="H28" si="3">G28/$G$48</f>
        <v>4.2875072661755196</v>
      </c>
      <c r="I28" s="447">
        <f>'[2]FFPREV Junho 2018'!$I$15</f>
        <v>-3.2000000000000002E-3</v>
      </c>
      <c r="J28" s="411"/>
      <c r="K28" s="403"/>
      <c r="L28" s="381" t="s">
        <v>339</v>
      </c>
      <c r="M28" s="458">
        <f>'[2]FFPREV Junho 2018'!$M$15</f>
        <v>267813735.44</v>
      </c>
      <c r="N28" s="70">
        <f t="shared" si="1"/>
        <v>1.7412379325274535E-2</v>
      </c>
      <c r="O28" s="783"/>
      <c r="P28" s="786"/>
      <c r="Q28" s="789"/>
      <c r="R28" s="792"/>
      <c r="S28" s="795"/>
      <c r="T28" s="64"/>
      <c r="U28" s="64"/>
      <c r="V28" s="63"/>
      <c r="W28" s="64"/>
      <c r="X28" s="64"/>
      <c r="Y28" s="90"/>
    </row>
    <row r="29" spans="1:25" s="1" customFormat="1" ht="23.25" thickBot="1" x14ac:dyDescent="0.3">
      <c r="A29" s="185"/>
      <c r="B29" s="337" t="s">
        <v>168</v>
      </c>
      <c r="C29" s="338"/>
      <c r="D29" s="339"/>
      <c r="E29" s="340"/>
      <c r="F29" s="340"/>
      <c r="G29" s="609">
        <v>0</v>
      </c>
      <c r="H29" s="43"/>
      <c r="I29" s="43"/>
      <c r="J29" s="43"/>
      <c r="K29" s="318"/>
      <c r="L29" s="321"/>
      <c r="M29" s="315"/>
      <c r="N29" s="187"/>
      <c r="O29" s="316" t="s">
        <v>41</v>
      </c>
      <c r="P29" s="722">
        <v>0</v>
      </c>
      <c r="Q29" s="173">
        <v>1</v>
      </c>
      <c r="R29" s="96">
        <v>0</v>
      </c>
      <c r="S29" s="719" t="s">
        <v>297</v>
      </c>
      <c r="T29" s="64"/>
      <c r="U29" s="64"/>
      <c r="V29" s="63"/>
      <c r="W29" s="64"/>
      <c r="X29" s="64"/>
      <c r="Y29" s="90"/>
    </row>
    <row r="30" spans="1:25" s="1" customFormat="1" ht="23.25" thickBot="1" x14ac:dyDescent="0.3">
      <c r="A30" s="185"/>
      <c r="B30" s="337" t="s">
        <v>165</v>
      </c>
      <c r="C30" s="338"/>
      <c r="D30" s="341"/>
      <c r="E30" s="342"/>
      <c r="F30" s="342"/>
      <c r="G30" s="609">
        <v>0</v>
      </c>
      <c r="H30" s="43"/>
      <c r="I30" s="116"/>
      <c r="J30" s="116"/>
      <c r="K30" s="198"/>
      <c r="L30" s="113"/>
      <c r="M30" s="319"/>
      <c r="N30" s="218"/>
      <c r="O30" s="316" t="s">
        <v>41</v>
      </c>
      <c r="P30" s="322">
        <v>0</v>
      </c>
      <c r="Q30" s="172">
        <v>0.05</v>
      </c>
      <c r="R30" s="173">
        <v>0</v>
      </c>
      <c r="S30" s="569" t="s">
        <v>298</v>
      </c>
      <c r="T30" s="64"/>
      <c r="U30" s="64"/>
      <c r="V30" s="63"/>
      <c r="W30" s="64"/>
      <c r="X30" s="64"/>
      <c r="Y30" s="90"/>
    </row>
    <row r="31" spans="1:25" s="53" customFormat="1" ht="18.75" thickBot="1" x14ac:dyDescent="0.25">
      <c r="A31" s="40"/>
      <c r="B31" s="334" t="s">
        <v>166</v>
      </c>
      <c r="C31" s="335"/>
      <c r="D31" s="336"/>
      <c r="E31" s="336"/>
      <c r="F31" s="336"/>
      <c r="G31" s="582">
        <f>SUM(G32:G38)</f>
        <v>197031505.01000002</v>
      </c>
      <c r="H31" s="43">
        <f t="shared" ref="H31:H38" si="4">G31/$G$95</f>
        <v>0.19243476156878711</v>
      </c>
      <c r="I31" s="91"/>
      <c r="J31" s="44"/>
      <c r="K31" s="44"/>
      <c r="L31" s="44"/>
      <c r="M31" s="130"/>
      <c r="N31" s="131"/>
      <c r="O31" s="42"/>
      <c r="P31" s="723"/>
      <c r="Q31" s="723"/>
      <c r="R31" s="723"/>
      <c r="S31" s="140"/>
      <c r="T31" s="52"/>
      <c r="U31" s="52"/>
      <c r="V31" s="52"/>
      <c r="W31" s="52"/>
      <c r="X31" s="52"/>
      <c r="Y31" s="52"/>
    </row>
    <row r="32" spans="1:25" s="53" customFormat="1" ht="23.25" customHeight="1" thickBot="1" x14ac:dyDescent="0.3">
      <c r="A32" s="40"/>
      <c r="B32" s="107" t="s">
        <v>42</v>
      </c>
      <c r="C32" s="108" t="s">
        <v>43</v>
      </c>
      <c r="D32" s="56" t="s">
        <v>61</v>
      </c>
      <c r="E32" s="109" t="s">
        <v>38</v>
      </c>
      <c r="F32" s="109" t="s">
        <v>39</v>
      </c>
      <c r="G32" s="584">
        <f>'[1]FFIN2 Junho 2018'!$G$22</f>
        <v>22261708.43</v>
      </c>
      <c r="H32" s="70">
        <f t="shared" si="4"/>
        <v>2.1742342949791119E-2</v>
      </c>
      <c r="I32" s="376">
        <f>'[1]FFIN2 Junho 2018'!$I$22</f>
        <v>4.2839999999999996E-3</v>
      </c>
      <c r="J32" s="111"/>
      <c r="K32" s="112"/>
      <c r="L32" s="127" t="s">
        <v>53</v>
      </c>
      <c r="M32" s="428">
        <f>'[1]FFIN2 Junho 2018'!$M$22</f>
        <v>2255256718.3099999</v>
      </c>
      <c r="N32" s="114">
        <f t="shared" ref="N32:N38" si="5">G32/M32</f>
        <v>9.8710307563930205E-3</v>
      </c>
      <c r="O32" s="825" t="s">
        <v>333</v>
      </c>
      <c r="P32" s="811">
        <f>SUM(G32:G38)/G95</f>
        <v>0.19243476156878711</v>
      </c>
      <c r="Q32" s="790">
        <v>0.6</v>
      </c>
      <c r="R32" s="790">
        <v>0.35</v>
      </c>
      <c r="S32" s="821" t="s">
        <v>332</v>
      </c>
      <c r="T32" s="52"/>
      <c r="U32" s="52"/>
      <c r="V32" s="52"/>
      <c r="W32" s="52"/>
      <c r="X32" s="52"/>
      <c r="Y32" s="52"/>
    </row>
    <row r="33" spans="1:25" s="53" customFormat="1" ht="18.75" thickBot="1" x14ac:dyDescent="0.3">
      <c r="A33" s="40"/>
      <c r="B33" s="107" t="s">
        <v>214</v>
      </c>
      <c r="C33" s="108" t="s">
        <v>43</v>
      </c>
      <c r="D33" s="56" t="s">
        <v>61</v>
      </c>
      <c r="E33" s="110" t="s">
        <v>38</v>
      </c>
      <c r="F33" s="190" t="s">
        <v>39</v>
      </c>
      <c r="G33" s="357">
        <f>'[2]FFPREV Junho 2018'!$G$19</f>
        <v>19922778.190000001</v>
      </c>
      <c r="H33" s="70">
        <f t="shared" si="4"/>
        <v>1.9457979933645141E-2</v>
      </c>
      <c r="I33" s="376">
        <f>'[2]FFPREV Junho 2018'!$I$19</f>
        <v>1.46E-4</v>
      </c>
      <c r="J33" s="111"/>
      <c r="K33" s="377"/>
      <c r="L33" s="381" t="s">
        <v>53</v>
      </c>
      <c r="M33" s="429">
        <f>'[2]FFPREV Junho 2018'!$M$19</f>
        <v>2255256718.3099999</v>
      </c>
      <c r="N33" s="378">
        <f t="shared" si="5"/>
        <v>8.8339292055980845E-3</v>
      </c>
      <c r="O33" s="826"/>
      <c r="P33" s="812"/>
      <c r="Q33" s="791"/>
      <c r="R33" s="791"/>
      <c r="S33" s="822"/>
      <c r="T33" s="52"/>
      <c r="U33" s="52"/>
      <c r="V33" s="52"/>
      <c r="W33" s="52"/>
      <c r="X33" s="52"/>
      <c r="Y33" s="52"/>
    </row>
    <row r="34" spans="1:25" s="53" customFormat="1" ht="18" x14ac:dyDescent="0.25">
      <c r="A34" s="40"/>
      <c r="B34" s="54" t="s">
        <v>42</v>
      </c>
      <c r="C34" s="55" t="s">
        <v>43</v>
      </c>
      <c r="D34" s="56" t="s">
        <v>59</v>
      </c>
      <c r="E34" s="109" t="s">
        <v>38</v>
      </c>
      <c r="F34" s="115" t="s">
        <v>39</v>
      </c>
      <c r="G34" s="384">
        <f>'[1]FFIN2 Junho 2018'!$G$23</f>
        <v>51110714.880000003</v>
      </c>
      <c r="H34" s="141">
        <f t="shared" si="4"/>
        <v>4.991830230928742E-2</v>
      </c>
      <c r="I34" s="358">
        <f>'[1]FFIN2 Junho 2018'!$I$23</f>
        <v>-4.0020000000000003E-3</v>
      </c>
      <c r="J34" s="111"/>
      <c r="K34" s="147"/>
      <c r="L34" s="118" t="s">
        <v>40</v>
      </c>
      <c r="M34" s="445">
        <f>'[1]FFIN2 Junho 2018'!$M$23</f>
        <v>892147310.44000006</v>
      </c>
      <c r="N34" s="119">
        <f t="shared" si="5"/>
        <v>5.728954656018926E-2</v>
      </c>
      <c r="O34" s="826"/>
      <c r="P34" s="812"/>
      <c r="Q34" s="791"/>
      <c r="R34" s="791"/>
      <c r="S34" s="822"/>
      <c r="T34" s="52"/>
      <c r="U34" s="52"/>
      <c r="V34" s="52"/>
      <c r="W34" s="52"/>
      <c r="X34" s="52"/>
      <c r="Y34" s="52"/>
    </row>
    <row r="35" spans="1:25" s="53" customFormat="1" ht="18" x14ac:dyDescent="0.25">
      <c r="A35" s="40"/>
      <c r="B35" s="54" t="s">
        <v>199</v>
      </c>
      <c r="C35" s="197" t="s">
        <v>200</v>
      </c>
      <c r="D35" s="83" t="s">
        <v>201</v>
      </c>
      <c r="E35" s="110" t="s">
        <v>38</v>
      </c>
      <c r="F35" s="110" t="s">
        <v>38</v>
      </c>
      <c r="G35" s="364">
        <f>'[2]FFPREV Junho 2018'!$G$20</f>
        <v>20958692.149999999</v>
      </c>
      <c r="H35" s="141">
        <f t="shared" si="4"/>
        <v>2.04697260292163E-2</v>
      </c>
      <c r="I35" s="358">
        <f>'[2]FFPREV Junho 2018'!$I$20</f>
        <v>-3.5839999999999999E-3</v>
      </c>
      <c r="J35" s="326"/>
      <c r="K35" s="383"/>
      <c r="L35" s="381" t="s">
        <v>40</v>
      </c>
      <c r="M35" s="431">
        <f>'[2]FFPREV Junho 2018'!$M$20</f>
        <v>1884809390.51</v>
      </c>
      <c r="N35" s="378">
        <f t="shared" si="5"/>
        <v>1.111979399907855E-2</v>
      </c>
      <c r="O35" s="826"/>
      <c r="P35" s="812"/>
      <c r="Q35" s="791"/>
      <c r="R35" s="791"/>
      <c r="S35" s="822"/>
      <c r="T35" s="52"/>
      <c r="U35" s="52"/>
      <c r="V35" s="52"/>
      <c r="W35" s="52"/>
      <c r="X35" s="52"/>
      <c r="Y35" s="52"/>
    </row>
    <row r="36" spans="1:25" s="53" customFormat="1" ht="18" x14ac:dyDescent="0.25">
      <c r="A36" s="40"/>
      <c r="B36" s="54" t="s">
        <v>62</v>
      </c>
      <c r="C36" s="136" t="s">
        <v>65</v>
      </c>
      <c r="D36" s="325" t="s">
        <v>66</v>
      </c>
      <c r="E36" s="190" t="s">
        <v>38</v>
      </c>
      <c r="F36" s="190" t="s">
        <v>39</v>
      </c>
      <c r="G36" s="585">
        <f>'[1]FFIN2 Junho 2018'!$G$25</f>
        <v>27559364.809999999</v>
      </c>
      <c r="H36" s="141">
        <f t="shared" si="4"/>
        <v>2.6916405048676893E-2</v>
      </c>
      <c r="I36" s="363">
        <f>'[1]FFIN2 Junho 2018'!$I$25</f>
        <v>3.8E-3</v>
      </c>
      <c r="J36" s="111"/>
      <c r="K36" s="440"/>
      <c r="L36" s="127" t="s">
        <v>53</v>
      </c>
      <c r="M36" s="430">
        <f>'[1]FFIN2 Junho 2018'!$M$25</f>
        <v>536163794.24000001</v>
      </c>
      <c r="N36" s="128">
        <f t="shared" si="5"/>
        <v>5.1401017946511612E-2</v>
      </c>
      <c r="O36" s="826"/>
      <c r="P36" s="812"/>
      <c r="Q36" s="791"/>
      <c r="R36" s="791"/>
      <c r="S36" s="822"/>
      <c r="T36" s="52"/>
      <c r="U36" s="52"/>
      <c r="V36" s="52"/>
      <c r="W36" s="52"/>
      <c r="X36" s="52"/>
      <c r="Y36" s="52"/>
    </row>
    <row r="37" spans="1:25" s="53" customFormat="1" ht="18" x14ac:dyDescent="0.25">
      <c r="A37" s="40"/>
      <c r="B37" s="54" t="s">
        <v>198</v>
      </c>
      <c r="C37" s="136" t="s">
        <v>65</v>
      </c>
      <c r="D37" s="137" t="s">
        <v>66</v>
      </c>
      <c r="E37" s="109" t="s">
        <v>38</v>
      </c>
      <c r="F37" s="109" t="s">
        <v>39</v>
      </c>
      <c r="G37" s="357">
        <f>'[2]FFPREV Junho 2018'!$G$21</f>
        <v>8691379.0800000001</v>
      </c>
      <c r="H37" s="141">
        <f t="shared" si="4"/>
        <v>8.4886092753484171E-3</v>
      </c>
      <c r="I37" s="376">
        <f>'[2]FFPREV Junho 2018'!$I$21</f>
        <v>3.8E-3</v>
      </c>
      <c r="J37" s="111"/>
      <c r="K37" s="406"/>
      <c r="L37" s="407" t="s">
        <v>53</v>
      </c>
      <c r="M37" s="431">
        <f>'[2]FFPREV Junho 2018'!$M$21</f>
        <v>536163794.24000001</v>
      </c>
      <c r="N37" s="378">
        <f t="shared" si="5"/>
        <v>1.621030583073934E-2</v>
      </c>
      <c r="O37" s="826"/>
      <c r="P37" s="812"/>
      <c r="Q37" s="791"/>
      <c r="R37" s="791"/>
      <c r="S37" s="822"/>
      <c r="T37" s="52"/>
      <c r="U37" s="52"/>
      <c r="V37" s="52"/>
      <c r="W37" s="52"/>
      <c r="X37" s="52"/>
      <c r="Y37" s="52"/>
    </row>
    <row r="38" spans="1:25" s="53" customFormat="1" ht="18.75" thickBot="1" x14ac:dyDescent="0.3">
      <c r="A38" s="40"/>
      <c r="B38" s="107" t="s">
        <v>62</v>
      </c>
      <c r="C38" s="136" t="s">
        <v>63</v>
      </c>
      <c r="D38" s="137" t="s">
        <v>64</v>
      </c>
      <c r="E38" s="115" t="s">
        <v>38</v>
      </c>
      <c r="F38" s="115" t="s">
        <v>39</v>
      </c>
      <c r="G38" s="364">
        <f>'[1]FFIN2 Junho 2018'!$G$24</f>
        <v>46526867.469999999</v>
      </c>
      <c r="H38" s="141">
        <f t="shared" si="4"/>
        <v>4.5441396022821788E-2</v>
      </c>
      <c r="I38" s="415">
        <f>'[1]FFIN2 Junho 2018'!$I$24</f>
        <v>-4.3E-3</v>
      </c>
      <c r="J38" s="200"/>
      <c r="K38" s="439"/>
      <c r="L38" s="127" t="s">
        <v>40</v>
      </c>
      <c r="M38" s="428">
        <f>'[1]FFIN2 Junho 2018'!$M$24</f>
        <v>1261917384.0999999</v>
      </c>
      <c r="N38" s="119">
        <f t="shared" si="5"/>
        <v>3.6869979014658702E-2</v>
      </c>
      <c r="O38" s="827"/>
      <c r="P38" s="824"/>
      <c r="Q38" s="792"/>
      <c r="R38" s="792"/>
      <c r="S38" s="823"/>
      <c r="T38" s="52"/>
      <c r="U38" s="52"/>
      <c r="V38" s="52"/>
      <c r="W38" s="52"/>
      <c r="X38" s="52"/>
      <c r="Y38" s="52"/>
    </row>
    <row r="39" spans="1:25" s="1" customFormat="1" ht="23.25" thickBot="1" x14ac:dyDescent="0.3">
      <c r="A39" s="8"/>
      <c r="B39" s="343" t="s">
        <v>172</v>
      </c>
      <c r="C39" s="338"/>
      <c r="D39" s="344"/>
      <c r="E39" s="340"/>
      <c r="F39" s="340"/>
      <c r="G39" s="609">
        <v>0</v>
      </c>
      <c r="H39" s="328"/>
      <c r="I39" s="43"/>
      <c r="J39" s="43"/>
      <c r="K39" s="329"/>
      <c r="L39" s="654"/>
      <c r="M39" s="330"/>
      <c r="N39" s="43"/>
      <c r="O39" s="316" t="s">
        <v>167</v>
      </c>
      <c r="P39" s="322">
        <v>0</v>
      </c>
      <c r="Q39" s="173">
        <v>0.6</v>
      </c>
      <c r="R39" s="720">
        <v>0</v>
      </c>
      <c r="S39" s="570" t="s">
        <v>299</v>
      </c>
      <c r="T39" s="139"/>
      <c r="U39" s="64"/>
      <c r="V39" s="63"/>
      <c r="W39" s="63"/>
      <c r="X39" s="63"/>
      <c r="Y39" s="65"/>
    </row>
    <row r="40" spans="1:25" s="53" customFormat="1" ht="18.75" thickBot="1" x14ac:dyDescent="0.25">
      <c r="A40" s="40"/>
      <c r="B40" s="334" t="s">
        <v>170</v>
      </c>
      <c r="C40" s="335"/>
      <c r="D40" s="336"/>
      <c r="E40" s="336"/>
      <c r="F40" s="336"/>
      <c r="G40" s="587">
        <f>SUM(G41:G49)</f>
        <v>74354404.089999989</v>
      </c>
      <c r="H40" s="215">
        <f t="shared" ref="H40:H49" si="6">G40/$G$95</f>
        <v>7.2619716435309151E-2</v>
      </c>
      <c r="I40" s="327"/>
      <c r="J40" s="44"/>
      <c r="K40" s="162"/>
      <c r="L40" s="44"/>
      <c r="M40" s="130"/>
      <c r="N40" s="131"/>
      <c r="O40" s="42"/>
      <c r="P40" s="723"/>
      <c r="Q40" s="723"/>
      <c r="R40" s="723"/>
      <c r="S40" s="140"/>
      <c r="T40" s="52"/>
      <c r="U40" s="52"/>
      <c r="V40" s="52"/>
      <c r="W40" s="52"/>
      <c r="X40" s="52"/>
      <c r="Y40" s="52"/>
    </row>
    <row r="41" spans="1:25" s="1" customFormat="1" ht="18" x14ac:dyDescent="0.25">
      <c r="A41" s="8">
        <v>19</v>
      </c>
      <c r="B41" s="54" t="s">
        <v>72</v>
      </c>
      <c r="C41" s="136" t="s">
        <v>68</v>
      </c>
      <c r="D41" s="68" t="s">
        <v>73</v>
      </c>
      <c r="E41" s="124" t="s">
        <v>70</v>
      </c>
      <c r="F41" s="124" t="s">
        <v>74</v>
      </c>
      <c r="G41" s="386">
        <f>'[1]FFIN2 Junho 2018'!$G$28</f>
        <v>724062.52</v>
      </c>
      <c r="H41" s="141">
        <f t="shared" si="6"/>
        <v>7.0717014718038834E-4</v>
      </c>
      <c r="I41" s="415">
        <f>'[1]FFIN2 Junho 2018'!$I$28</f>
        <v>4.4000000000000003E-3</v>
      </c>
      <c r="J41" s="411"/>
      <c r="K41" s="126"/>
      <c r="L41" s="127" t="s">
        <v>71</v>
      </c>
      <c r="M41" s="404">
        <f>'[1]FFIN2 Junho 2018'!$M$28</f>
        <v>8298531266.0500002</v>
      </c>
      <c r="N41" s="119">
        <f t="shared" ref="N41:N49" si="7">G41/M41</f>
        <v>8.7251887928916003E-5</v>
      </c>
      <c r="O41" s="781" t="s">
        <v>167</v>
      </c>
      <c r="P41" s="796">
        <f>SUM(G41:G49)/G95</f>
        <v>7.2619716435309151E-2</v>
      </c>
      <c r="Q41" s="790">
        <v>0.4</v>
      </c>
      <c r="R41" s="790">
        <v>0.3</v>
      </c>
      <c r="S41" s="793" t="s">
        <v>343</v>
      </c>
      <c r="T41" s="64"/>
      <c r="U41" s="64"/>
      <c r="V41" s="63"/>
      <c r="W41" s="64"/>
      <c r="X41" s="64"/>
      <c r="Y41" s="90"/>
    </row>
    <row r="42" spans="1:25" s="1" customFormat="1" ht="18" x14ac:dyDescent="0.25">
      <c r="A42" s="8">
        <v>20</v>
      </c>
      <c r="B42" s="54" t="s">
        <v>72</v>
      </c>
      <c r="C42" s="136" t="s">
        <v>68</v>
      </c>
      <c r="D42" s="68" t="s">
        <v>69</v>
      </c>
      <c r="E42" s="124" t="s">
        <v>70</v>
      </c>
      <c r="F42" s="124" t="s">
        <v>70</v>
      </c>
      <c r="G42" s="386">
        <f>'[1]FFIN2 Junho 2018'!$G$29</f>
        <v>177883.81</v>
      </c>
      <c r="H42" s="141">
        <f t="shared" si="6"/>
        <v>1.7373378213073125E-4</v>
      </c>
      <c r="I42" s="415">
        <f>'[1]FFIN2 Junho 2018'!$I$29</f>
        <v>5.1000000000000004E-3</v>
      </c>
      <c r="J42" s="146"/>
      <c r="K42" s="147"/>
      <c r="L42" s="127" t="s">
        <v>71</v>
      </c>
      <c r="M42" s="404">
        <f>'[1]FFIN2 Junho 2018'!$M$29</f>
        <v>6681676467.8599997</v>
      </c>
      <c r="N42" s="119">
        <f t="shared" si="7"/>
        <v>2.662263143922807E-5</v>
      </c>
      <c r="O42" s="782"/>
      <c r="P42" s="797"/>
      <c r="Q42" s="791"/>
      <c r="R42" s="791"/>
      <c r="S42" s="794"/>
      <c r="T42" s="64"/>
      <c r="U42" s="64"/>
      <c r="V42" s="63"/>
      <c r="W42" s="64"/>
      <c r="X42" s="64"/>
      <c r="Y42" s="90"/>
    </row>
    <row r="43" spans="1:25" s="1" customFormat="1" ht="18" x14ac:dyDescent="0.25">
      <c r="A43" s="8"/>
      <c r="B43" s="54" t="s">
        <v>215</v>
      </c>
      <c r="C43" s="136" t="s">
        <v>68</v>
      </c>
      <c r="D43" s="68" t="s">
        <v>69</v>
      </c>
      <c r="E43" s="124" t="s">
        <v>70</v>
      </c>
      <c r="F43" s="124" t="s">
        <v>70</v>
      </c>
      <c r="G43" s="386">
        <f>'[2]FFPREV Junho 2018'!$G$24</f>
        <v>17561.14</v>
      </c>
      <c r="H43" s="141">
        <f t="shared" si="6"/>
        <v>1.7151438743791636E-5</v>
      </c>
      <c r="I43" s="363">
        <f>'[2]FFPREV Junho 2018'!$I$24</f>
        <v>5.1000000000000004E-3</v>
      </c>
      <c r="J43" s="111"/>
      <c r="K43" s="403"/>
      <c r="L43" s="381" t="s">
        <v>71</v>
      </c>
      <c r="M43" s="404">
        <f>'[2]FFPREV Junho 2018'!$M$24</f>
        <v>6681676467.8599997</v>
      </c>
      <c r="N43" s="382">
        <f t="shared" si="7"/>
        <v>2.6282535654744836E-6</v>
      </c>
      <c r="O43" s="782"/>
      <c r="P43" s="797"/>
      <c r="Q43" s="791"/>
      <c r="R43" s="791"/>
      <c r="S43" s="794"/>
      <c r="T43" s="64"/>
      <c r="U43" s="64"/>
      <c r="V43" s="63"/>
      <c r="W43" s="64"/>
      <c r="X43" s="64"/>
      <c r="Y43" s="90"/>
    </row>
    <row r="44" spans="1:25" s="1" customFormat="1" ht="18.75" thickBot="1" x14ac:dyDescent="0.3">
      <c r="A44" s="8">
        <v>21</v>
      </c>
      <c r="B44" s="148" t="s">
        <v>75</v>
      </c>
      <c r="C44" s="149"/>
      <c r="D44" s="150" t="s">
        <v>76</v>
      </c>
      <c r="E44" s="124" t="s">
        <v>38</v>
      </c>
      <c r="F44" s="115" t="s">
        <v>39</v>
      </c>
      <c r="G44" s="384">
        <f>'[1]FFIN2 Junho 2018'!$G$30</f>
        <v>16236020.869999999</v>
      </c>
      <c r="H44" s="141">
        <f t="shared" si="6"/>
        <v>1.5857234632531119E-2</v>
      </c>
      <c r="I44" s="358">
        <f>'[1]FFIN2 Junho 2018'!$I$30</f>
        <v>4.0000000000000002E-4</v>
      </c>
      <c r="J44" s="151"/>
      <c r="K44" s="152"/>
      <c r="L44" s="113" t="s">
        <v>71</v>
      </c>
      <c r="M44" s="434">
        <f>'[1]FFIN2 Junho 2018'!$M$30</f>
        <v>209312582.94</v>
      </c>
      <c r="N44" s="119">
        <f t="shared" si="7"/>
        <v>7.7568298293151816E-2</v>
      </c>
      <c r="O44" s="782"/>
      <c r="P44" s="797"/>
      <c r="Q44" s="791"/>
      <c r="R44" s="791"/>
      <c r="S44" s="794"/>
      <c r="T44" s="64"/>
      <c r="U44" s="64"/>
      <c r="V44" s="63"/>
      <c r="W44" s="64"/>
      <c r="X44" s="64"/>
      <c r="Y44" s="90"/>
    </row>
    <row r="45" spans="1:25" s="1" customFormat="1" ht="18.75" thickBot="1" x14ac:dyDescent="0.3">
      <c r="A45" s="8">
        <v>22</v>
      </c>
      <c r="B45" s="54" t="s">
        <v>55</v>
      </c>
      <c r="C45" s="98" t="s">
        <v>36</v>
      </c>
      <c r="D45" s="68" t="s">
        <v>79</v>
      </c>
      <c r="E45" s="124" t="s">
        <v>38</v>
      </c>
      <c r="F45" s="124" t="s">
        <v>39</v>
      </c>
      <c r="G45" s="386">
        <f>'[1]FFIN2 Junho 2018'!$G$32</f>
        <v>26940600.039999999</v>
      </c>
      <c r="H45" s="141">
        <f t="shared" si="6"/>
        <v>2.6312076055828405E-2</v>
      </c>
      <c r="I45" s="358">
        <f>'[1]FFIN2 Junho 2018'!$I$32</f>
        <v>5.8999999999999999E-3</v>
      </c>
      <c r="J45" s="125"/>
      <c r="K45" s="126"/>
      <c r="L45" s="127" t="s">
        <v>80</v>
      </c>
      <c r="M45" s="435">
        <f>'[1]FFIN2 Junho 2018'!$M$32</f>
        <v>1494479068.4000001</v>
      </c>
      <c r="N45" s="119">
        <f t="shared" si="7"/>
        <v>1.8026749661233327E-2</v>
      </c>
      <c r="O45" s="782"/>
      <c r="P45" s="797"/>
      <c r="Q45" s="791"/>
      <c r="R45" s="791"/>
      <c r="S45" s="794"/>
      <c r="T45" s="64"/>
      <c r="U45" s="64"/>
      <c r="V45" s="63"/>
      <c r="W45" s="64"/>
      <c r="X45" s="64"/>
      <c r="Y45" s="90"/>
    </row>
    <row r="46" spans="1:25" s="1" customFormat="1" ht="18.75" thickBot="1" x14ac:dyDescent="0.3">
      <c r="A46" s="8"/>
      <c r="B46" s="54" t="s">
        <v>202</v>
      </c>
      <c r="C46" s="98" t="s">
        <v>36</v>
      </c>
      <c r="D46" s="68" t="s">
        <v>79</v>
      </c>
      <c r="E46" s="124" t="s">
        <v>38</v>
      </c>
      <c r="F46" s="124" t="s">
        <v>39</v>
      </c>
      <c r="G46" s="384">
        <f>'[2]FFPREV Junho 2018'!$G$25</f>
        <v>8620039.9299999997</v>
      </c>
      <c r="H46" s="141">
        <f t="shared" si="6"/>
        <v>8.4189344671492233E-3</v>
      </c>
      <c r="I46" s="358">
        <f>'[1]FFIN2 Junho 2018'!$I$32</f>
        <v>5.8999999999999999E-3</v>
      </c>
      <c r="J46" s="125"/>
      <c r="K46" s="380"/>
      <c r="L46" s="381" t="s">
        <v>80</v>
      </c>
      <c r="M46" s="436">
        <f>'[2]FFPREV Junho 2018'!$M$25</f>
        <v>1494479068.4000001</v>
      </c>
      <c r="N46" s="382">
        <f t="shared" si="7"/>
        <v>5.767922824927E-3</v>
      </c>
      <c r="O46" s="782"/>
      <c r="P46" s="797"/>
      <c r="Q46" s="791"/>
      <c r="R46" s="791"/>
      <c r="S46" s="794"/>
      <c r="T46" s="64"/>
      <c r="U46" s="64"/>
      <c r="V46" s="63"/>
      <c r="W46" s="64"/>
      <c r="X46" s="64"/>
      <c r="Y46" s="90"/>
    </row>
    <row r="47" spans="1:25" s="1" customFormat="1" ht="18.75" thickBot="1" x14ac:dyDescent="0.3">
      <c r="A47" s="8"/>
      <c r="B47" s="54" t="s">
        <v>55</v>
      </c>
      <c r="C47" s="98" t="s">
        <v>77</v>
      </c>
      <c r="D47" s="68" t="s">
        <v>78</v>
      </c>
      <c r="E47" s="124" t="s">
        <v>38</v>
      </c>
      <c r="F47" s="124" t="s">
        <v>38</v>
      </c>
      <c r="G47" s="386">
        <f>'[1]FFIN2 Junho 2018'!$G$31</f>
        <v>6472212.6200000001</v>
      </c>
      <c r="H47" s="141">
        <f t="shared" si="6"/>
        <v>6.3212159511697513E-3</v>
      </c>
      <c r="I47" s="358">
        <f>'[1]FFIN2 Junho 2018'!$I$31</f>
        <v>5.1000000000000004E-3</v>
      </c>
      <c r="J47" s="125"/>
      <c r="K47" s="126"/>
      <c r="L47" s="113" t="s">
        <v>71</v>
      </c>
      <c r="M47" s="435">
        <f>'[1]FFIN2 Junho 2018'!$M$31</f>
        <v>10845925063.57</v>
      </c>
      <c r="N47" s="119">
        <f t="shared" si="7"/>
        <v>5.967414104435674E-4</v>
      </c>
      <c r="O47" s="782"/>
      <c r="P47" s="797"/>
      <c r="Q47" s="791"/>
      <c r="R47" s="791"/>
      <c r="S47" s="794"/>
      <c r="T47" s="64"/>
      <c r="U47" s="64"/>
      <c r="V47" s="63"/>
      <c r="W47" s="64"/>
      <c r="X47" s="64"/>
      <c r="Y47" s="90"/>
    </row>
    <row r="48" spans="1:25" s="1" customFormat="1" ht="18" x14ac:dyDescent="0.25">
      <c r="A48" s="8">
        <v>23</v>
      </c>
      <c r="B48" s="54" t="s">
        <v>203</v>
      </c>
      <c r="C48" s="98" t="s">
        <v>204</v>
      </c>
      <c r="D48" s="68" t="s">
        <v>78</v>
      </c>
      <c r="E48" s="124" t="s">
        <v>38</v>
      </c>
      <c r="F48" s="124" t="s">
        <v>38</v>
      </c>
      <c r="G48" s="386">
        <f>'[2]FFPREV Junho 2018'!$G$26</f>
        <v>1087642.32</v>
      </c>
      <c r="H48" s="141">
        <f t="shared" si="6"/>
        <v>1.0622676333447271E-3</v>
      </c>
      <c r="I48" s="358">
        <f>'[2]FFPREV Junho 2018'!$I$26</f>
        <v>5.1000000000000004E-3</v>
      </c>
      <c r="J48" s="125"/>
      <c r="K48" s="380"/>
      <c r="L48" s="387" t="s">
        <v>71</v>
      </c>
      <c r="M48" s="435">
        <f>'[2]FFPREV Junho 2018'!$M$26</f>
        <v>10845925063.57</v>
      </c>
      <c r="N48" s="382">
        <f t="shared" si="7"/>
        <v>1.0028119442326262E-4</v>
      </c>
      <c r="O48" s="782"/>
      <c r="P48" s="797"/>
      <c r="Q48" s="791"/>
      <c r="R48" s="791"/>
      <c r="S48" s="794"/>
      <c r="T48" s="64"/>
      <c r="U48" s="64"/>
      <c r="V48" s="63"/>
      <c r="W48" s="64"/>
      <c r="X48" s="64"/>
      <c r="Y48" s="90"/>
    </row>
    <row r="49" spans="1:25" s="1" customFormat="1" ht="18.75" thickBot="1" x14ac:dyDescent="0.3">
      <c r="A49" s="8">
        <v>24</v>
      </c>
      <c r="B49" s="148" t="s">
        <v>62</v>
      </c>
      <c r="C49" s="154"/>
      <c r="D49" s="332" t="s">
        <v>81</v>
      </c>
      <c r="E49" s="155" t="s">
        <v>38</v>
      </c>
      <c r="F49" s="155" t="s">
        <v>38</v>
      </c>
      <c r="G49" s="385">
        <f>'[1]FFIN2 Junho 2018'!$G$33</f>
        <v>14078380.84</v>
      </c>
      <c r="H49" s="141">
        <f t="shared" si="6"/>
        <v>1.3749932327231023E-2</v>
      </c>
      <c r="I49" s="433">
        <f>'[1]FFIN2 Junho 2018'!$I$33</f>
        <v>5.1000000000000004E-3</v>
      </c>
      <c r="J49" s="157"/>
      <c r="K49" s="158"/>
      <c r="L49" s="159" t="s">
        <v>71</v>
      </c>
      <c r="M49" s="437">
        <f>'[1]FFIN2 Junho 2018'!$M$33</f>
        <v>9019941616.7399998</v>
      </c>
      <c r="N49" s="161">
        <f t="shared" si="7"/>
        <v>1.5608062045404047E-3</v>
      </c>
      <c r="O49" s="783"/>
      <c r="P49" s="798"/>
      <c r="Q49" s="792"/>
      <c r="R49" s="792"/>
      <c r="S49" s="795"/>
      <c r="T49" s="64"/>
      <c r="U49" s="64"/>
      <c r="V49" s="63"/>
      <c r="W49" s="64"/>
      <c r="X49" s="64"/>
      <c r="Y49" s="90"/>
    </row>
    <row r="50" spans="1:25" s="1" customFormat="1" ht="23.25" thickBot="1" x14ac:dyDescent="0.3">
      <c r="A50" s="8"/>
      <c r="B50" s="343" t="s">
        <v>171</v>
      </c>
      <c r="C50" s="338"/>
      <c r="D50" s="341"/>
      <c r="E50" s="345"/>
      <c r="F50" s="345"/>
      <c r="G50" s="609">
        <v>0</v>
      </c>
      <c r="H50" s="328"/>
      <c r="I50" s="43"/>
      <c r="J50" s="215"/>
      <c r="K50" s="158"/>
      <c r="L50" s="331"/>
      <c r="M50" s="160"/>
      <c r="N50" s="187"/>
      <c r="O50" s="323" t="s">
        <v>60</v>
      </c>
      <c r="P50" s="322">
        <v>0</v>
      </c>
      <c r="Q50" s="172">
        <v>0.4</v>
      </c>
      <c r="R50" s="173">
        <v>0</v>
      </c>
      <c r="S50" s="569" t="s">
        <v>301</v>
      </c>
      <c r="T50" s="64"/>
      <c r="U50" s="64"/>
      <c r="V50" s="63"/>
      <c r="W50" s="64"/>
      <c r="X50" s="64"/>
      <c r="Y50" s="90"/>
    </row>
    <row r="51" spans="1:25" s="1" customFormat="1" ht="18.75" thickBot="1" x14ac:dyDescent="0.3">
      <c r="A51" s="8"/>
      <c r="B51" s="343" t="s">
        <v>173</v>
      </c>
      <c r="C51" s="338"/>
      <c r="D51" s="339"/>
      <c r="E51" s="345"/>
      <c r="F51" s="345"/>
      <c r="G51" s="609">
        <v>0</v>
      </c>
      <c r="H51" s="215"/>
      <c r="I51" s="43"/>
      <c r="J51" s="215"/>
      <c r="K51" s="158"/>
      <c r="L51" s="331"/>
      <c r="M51" s="160"/>
      <c r="N51" s="156"/>
      <c r="O51" s="410" t="s">
        <v>60</v>
      </c>
      <c r="P51" s="322">
        <v>0</v>
      </c>
      <c r="Q51" s="173">
        <v>0.2</v>
      </c>
      <c r="R51" s="96">
        <v>0</v>
      </c>
      <c r="S51" s="174" t="s">
        <v>174</v>
      </c>
      <c r="T51" s="64"/>
      <c r="U51" s="64"/>
      <c r="V51" s="63"/>
      <c r="W51" s="64"/>
      <c r="X51" s="64"/>
      <c r="Y51" s="90"/>
    </row>
    <row r="52" spans="1:25" s="1" customFormat="1" ht="23.25" thickBot="1" x14ac:dyDescent="0.3">
      <c r="A52" s="8"/>
      <c r="B52" s="343" t="s">
        <v>175</v>
      </c>
      <c r="C52" s="338"/>
      <c r="D52" s="339"/>
      <c r="E52" s="345"/>
      <c r="F52" s="345"/>
      <c r="G52" s="611">
        <v>0</v>
      </c>
      <c r="H52" s="215"/>
      <c r="I52" s="43"/>
      <c r="J52" s="215"/>
      <c r="K52" s="158"/>
      <c r="L52" s="331"/>
      <c r="M52" s="160"/>
      <c r="N52" s="156"/>
      <c r="O52" s="311" t="s">
        <v>60</v>
      </c>
      <c r="P52" s="322">
        <v>0</v>
      </c>
      <c r="Q52" s="172">
        <v>0.15</v>
      </c>
      <c r="R52" s="173">
        <v>0</v>
      </c>
      <c r="S52" s="569" t="s">
        <v>302</v>
      </c>
      <c r="T52" s="64"/>
      <c r="U52" s="64"/>
      <c r="V52" s="63"/>
      <c r="W52" s="64"/>
      <c r="X52" s="64"/>
      <c r="Y52" s="90"/>
    </row>
    <row r="53" spans="1:25" s="1" customFormat="1" ht="23.25" thickBot="1" x14ac:dyDescent="0.3">
      <c r="A53" s="8"/>
      <c r="B53" s="343" t="s">
        <v>176</v>
      </c>
      <c r="C53" s="338"/>
      <c r="D53" s="339"/>
      <c r="E53" s="345"/>
      <c r="F53" s="345"/>
      <c r="G53" s="611">
        <v>0</v>
      </c>
      <c r="H53" s="215"/>
      <c r="I53" s="43"/>
      <c r="J53" s="215"/>
      <c r="K53" s="158"/>
      <c r="L53" s="331"/>
      <c r="M53" s="160"/>
      <c r="N53" s="156"/>
      <c r="O53" s="311" t="s">
        <v>60</v>
      </c>
      <c r="P53" s="571">
        <v>0</v>
      </c>
      <c r="Q53" s="95">
        <v>0.15</v>
      </c>
      <c r="R53" s="173">
        <v>0</v>
      </c>
      <c r="S53" s="569" t="s">
        <v>303</v>
      </c>
      <c r="T53" s="64"/>
      <c r="U53" s="64"/>
      <c r="V53" s="63"/>
      <c r="W53" s="64"/>
      <c r="X53" s="64"/>
      <c r="Y53" s="90"/>
    </row>
    <row r="54" spans="1:25" s="53" customFormat="1" ht="18.75" thickBot="1" x14ac:dyDescent="0.25">
      <c r="A54" s="40"/>
      <c r="B54" s="334" t="s">
        <v>177</v>
      </c>
      <c r="C54" s="335"/>
      <c r="D54" s="336"/>
      <c r="E54" s="336"/>
      <c r="F54" s="336"/>
      <c r="G54" s="582">
        <f>SUM(G55:G57)</f>
        <v>7219258.5899999999</v>
      </c>
      <c r="H54" s="43">
        <f>G54/$G$95</f>
        <v>7.0508333446448555E-3</v>
      </c>
      <c r="I54" s="91"/>
      <c r="J54" s="44"/>
      <c r="K54" s="44"/>
      <c r="L54" s="162"/>
      <c r="M54" s="163"/>
      <c r="N54" s="164"/>
      <c r="O54" s="165"/>
      <c r="P54" s="166"/>
      <c r="Q54" s="723"/>
      <c r="R54" s="724"/>
      <c r="S54" s="133"/>
      <c r="T54" s="52"/>
      <c r="U54" s="52"/>
      <c r="V54" s="52"/>
      <c r="W54" s="52"/>
      <c r="X54" s="52"/>
      <c r="Y54" s="52"/>
    </row>
    <row r="55" spans="1:25" s="1" customFormat="1" ht="18.75" thickBot="1" x14ac:dyDescent="0.3">
      <c r="A55" s="8">
        <v>25</v>
      </c>
      <c r="B55" s="66" t="s">
        <v>82</v>
      </c>
      <c r="C55" s="108"/>
      <c r="D55" s="134" t="s">
        <v>83</v>
      </c>
      <c r="E55" s="438" t="s">
        <v>84</v>
      </c>
      <c r="F55" s="438" t="s">
        <v>85</v>
      </c>
      <c r="G55" s="588">
        <f>'[1]FFIN2 Junho 2018'!$G$39</f>
        <v>7139802.04</v>
      </c>
      <c r="H55" s="191">
        <f>G55/$G$95</f>
        <v>6.9732305153229548E-3</v>
      </c>
      <c r="I55" s="426">
        <f>'[1]FFIN2 Junho 2018'!$I$39</f>
        <v>6.1000000000000004E-3</v>
      </c>
      <c r="J55" s="200"/>
      <c r="K55" s="439"/>
      <c r="L55" s="113" t="s">
        <v>71</v>
      </c>
      <c r="M55" s="75">
        <f>'[1]FFIN2 Junho 2018'!$M$39</f>
        <v>568645636.95000005</v>
      </c>
      <c r="N55" s="441">
        <f>G55/M55</f>
        <v>1.2555802025133254E-2</v>
      </c>
      <c r="O55" s="799" t="s">
        <v>60</v>
      </c>
      <c r="P55" s="796">
        <f>SUM(G55:G57)/G95</f>
        <v>7.0508333446448555E-3</v>
      </c>
      <c r="Q55" s="790">
        <v>0.05</v>
      </c>
      <c r="R55" s="778">
        <v>0.02</v>
      </c>
      <c r="S55" s="793" t="s">
        <v>304</v>
      </c>
      <c r="T55" s="64"/>
      <c r="U55" s="64"/>
      <c r="V55" s="64"/>
      <c r="W55" s="64"/>
      <c r="X55" s="63"/>
      <c r="Y55" s="65"/>
    </row>
    <row r="56" spans="1:25" s="1" customFormat="1" ht="15.75" customHeight="1" x14ac:dyDescent="0.25">
      <c r="A56" s="8">
        <v>26</v>
      </c>
      <c r="B56" s="54" t="s">
        <v>86</v>
      </c>
      <c r="C56" s="98" t="s">
        <v>87</v>
      </c>
      <c r="D56" s="56" t="s">
        <v>88</v>
      </c>
      <c r="E56" s="109" t="s">
        <v>89</v>
      </c>
      <c r="F56" s="109" t="s">
        <v>89</v>
      </c>
      <c r="G56" s="584">
        <f>'[1]FFIN2 Junho 2018'!$G$40</f>
        <v>37570.6</v>
      </c>
      <c r="H56" s="191">
        <f>G56/$G$95</f>
        <v>3.6694078201500469E-5</v>
      </c>
      <c r="I56" s="442">
        <f>'[1]FFIN2 Junho 2018'!$I$40</f>
        <v>-2.29E-2</v>
      </c>
      <c r="J56" s="111"/>
      <c r="K56" s="440"/>
      <c r="L56" s="118" t="s">
        <v>71</v>
      </c>
      <c r="M56" s="445">
        <f>'[1]FFIN2 Junho 2018'!$M$40</f>
        <v>876648.77</v>
      </c>
      <c r="N56" s="119">
        <f>G56/M56</f>
        <v>4.2857072622140335E-2</v>
      </c>
      <c r="O56" s="800"/>
      <c r="P56" s="797"/>
      <c r="Q56" s="791"/>
      <c r="R56" s="779"/>
      <c r="S56" s="794"/>
      <c r="T56" s="64"/>
      <c r="U56" s="64"/>
      <c r="V56" s="63"/>
      <c r="W56" s="64"/>
      <c r="X56" s="63"/>
      <c r="Y56" s="65"/>
    </row>
    <row r="57" spans="1:25" s="1" customFormat="1" ht="18.75" thickBot="1" x14ac:dyDescent="0.3">
      <c r="A57" s="8">
        <v>27</v>
      </c>
      <c r="B57" s="167" t="s">
        <v>90</v>
      </c>
      <c r="C57" s="108"/>
      <c r="D57" s="87" t="s">
        <v>91</v>
      </c>
      <c r="E57" s="168" t="s">
        <v>89</v>
      </c>
      <c r="F57" s="168" t="s">
        <v>89</v>
      </c>
      <c r="G57" s="589">
        <f>'[1]FFIN2 Junho 2018'!$G$41</f>
        <v>41885.949999999997</v>
      </c>
      <c r="H57" s="191">
        <f>G57/$G$95</f>
        <v>4.090875112040102E-5</v>
      </c>
      <c r="I57" s="443">
        <f>'[1]FFIN2 Junho 2018'!$I$41</f>
        <v>-3.9399999999999998E-2</v>
      </c>
      <c r="J57" s="138"/>
      <c r="K57" s="175"/>
      <c r="L57" s="159" t="s">
        <v>71</v>
      </c>
      <c r="M57" s="446">
        <f>'[1]FFIN2 Junho 2018'!$M$41</f>
        <v>841920.33</v>
      </c>
      <c r="N57" s="161">
        <f>G57/M57</f>
        <v>4.9750491237098404E-2</v>
      </c>
      <c r="O57" s="801"/>
      <c r="P57" s="798"/>
      <c r="Q57" s="792"/>
      <c r="R57" s="780"/>
      <c r="S57" s="795"/>
      <c r="T57" s="64"/>
      <c r="U57" s="64"/>
      <c r="V57" s="63"/>
      <c r="W57" s="64"/>
      <c r="X57" s="63"/>
      <c r="Y57" s="65"/>
    </row>
    <row r="58" spans="1:25" s="1" customFormat="1" ht="23.25" thickBot="1" x14ac:dyDescent="0.3">
      <c r="A58" s="8"/>
      <c r="B58" s="346" t="s">
        <v>178</v>
      </c>
      <c r="C58" s="338"/>
      <c r="D58" s="347"/>
      <c r="E58" s="345"/>
      <c r="F58" s="345"/>
      <c r="G58" s="625">
        <v>0</v>
      </c>
      <c r="H58" s="215"/>
      <c r="I58" s="333"/>
      <c r="J58" s="215"/>
      <c r="K58" s="158"/>
      <c r="L58" s="331"/>
      <c r="M58" s="160"/>
      <c r="N58" s="187"/>
      <c r="O58" s="327" t="s">
        <v>60</v>
      </c>
      <c r="P58" s="322">
        <v>0</v>
      </c>
      <c r="Q58" s="172">
        <v>0.05</v>
      </c>
      <c r="R58" s="173">
        <v>0.01</v>
      </c>
      <c r="S58" s="719" t="s">
        <v>305</v>
      </c>
      <c r="T58" s="64"/>
      <c r="U58" s="64"/>
      <c r="V58" s="63"/>
      <c r="W58" s="64"/>
      <c r="X58" s="63"/>
      <c r="Y58" s="65"/>
    </row>
    <row r="59" spans="1:25" s="1" customFormat="1" ht="23.25" thickBot="1" x14ac:dyDescent="0.3">
      <c r="A59" s="8"/>
      <c r="B59" s="346" t="s">
        <v>179</v>
      </c>
      <c r="C59" s="338"/>
      <c r="D59" s="347"/>
      <c r="E59" s="345"/>
      <c r="F59" s="345"/>
      <c r="G59" s="625">
        <v>0</v>
      </c>
      <c r="H59" s="215"/>
      <c r="I59" s="333"/>
      <c r="J59" s="215"/>
      <c r="K59" s="158"/>
      <c r="L59" s="331"/>
      <c r="M59" s="160"/>
      <c r="N59" s="215"/>
      <c r="O59" s="327" t="s">
        <v>60</v>
      </c>
      <c r="P59" s="322">
        <v>0</v>
      </c>
      <c r="Q59" s="172">
        <v>0.05</v>
      </c>
      <c r="R59" s="173">
        <v>0</v>
      </c>
      <c r="S59" s="719" t="s">
        <v>306</v>
      </c>
      <c r="T59" s="64"/>
      <c r="U59" s="64"/>
      <c r="V59" s="63"/>
      <c r="W59" s="64"/>
      <c r="X59" s="63"/>
      <c r="Y59" s="65"/>
    </row>
    <row r="60" spans="1:25" s="53" customFormat="1" ht="18.75" thickBot="1" x14ac:dyDescent="0.25">
      <c r="A60" s="40"/>
      <c r="B60" s="334" t="s">
        <v>180</v>
      </c>
      <c r="C60" s="335"/>
      <c r="D60" s="336"/>
      <c r="E60" s="336"/>
      <c r="F60" s="336"/>
      <c r="G60" s="582">
        <f>SUM(G61:G62)</f>
        <v>56876664.740000002</v>
      </c>
      <c r="H60" s="43">
        <f t="shared" ref="H60:H75" si="8">G60/$G$95</f>
        <v>5.5549732605017874E-2</v>
      </c>
      <c r="I60" s="91"/>
      <c r="J60" s="44"/>
      <c r="K60" s="44"/>
      <c r="L60" s="44"/>
      <c r="M60" s="130"/>
      <c r="N60" s="94"/>
      <c r="O60" s="42"/>
      <c r="P60" s="176">
        <f>SUM((G4+G15+G31+G40+G54)/G95)*100</f>
        <v>82.864387568618753</v>
      </c>
      <c r="Q60" s="49"/>
      <c r="R60" s="723"/>
      <c r="S60" s="140"/>
      <c r="T60" s="52"/>
      <c r="U60" s="52"/>
      <c r="V60" s="52"/>
      <c r="W60" s="52"/>
      <c r="X60" s="52"/>
      <c r="Y60" s="52"/>
    </row>
    <row r="61" spans="1:25" s="1" customFormat="1" ht="18" customHeight="1" x14ac:dyDescent="0.25">
      <c r="A61" s="8">
        <v>28</v>
      </c>
      <c r="B61" s="177" t="s">
        <v>55</v>
      </c>
      <c r="C61" s="178"/>
      <c r="D61" s="179" t="s">
        <v>92</v>
      </c>
      <c r="E61" s="180" t="s">
        <v>93</v>
      </c>
      <c r="F61" s="180" t="s">
        <v>94</v>
      </c>
      <c r="G61" s="457">
        <f>'[1]FFIN2 Junho 2018'!$G$45</f>
        <v>34307165.350000001</v>
      </c>
      <c r="H61" s="78">
        <f t="shared" si="8"/>
        <v>3.3506779455869946E-2</v>
      </c>
      <c r="I61" s="447">
        <f>'[1]FFIN2 Junho 2018'!$I$45</f>
        <v>-4.5900000000000003E-2</v>
      </c>
      <c r="J61" s="103"/>
      <c r="K61" s="112"/>
      <c r="L61" s="127" t="s">
        <v>95</v>
      </c>
      <c r="M61" s="449">
        <f>'[1]FFIN2 Junho 2018'!$M$45</f>
        <v>674378078.38999999</v>
      </c>
      <c r="N61" s="135">
        <f t="shared" ref="N61:N62" si="9">G61/M61</f>
        <v>5.0872302124506198E-2</v>
      </c>
      <c r="O61" s="818" t="s">
        <v>96</v>
      </c>
      <c r="P61" s="805">
        <f>(SUM(G61:G62)/G95)</f>
        <v>5.5549732605017874E-2</v>
      </c>
      <c r="Q61" s="790">
        <v>0.3</v>
      </c>
      <c r="R61" s="787">
        <v>0.15</v>
      </c>
      <c r="S61" s="793" t="s">
        <v>307</v>
      </c>
      <c r="T61" s="64"/>
      <c r="U61" s="64"/>
      <c r="V61" s="63"/>
      <c r="W61" s="64"/>
      <c r="X61" s="64"/>
      <c r="Y61" s="182"/>
    </row>
    <row r="62" spans="1:25" s="1" customFormat="1" ht="18.75" thickBot="1" x14ac:dyDescent="0.3">
      <c r="A62" s="8"/>
      <c r="B62" s="209" t="s">
        <v>116</v>
      </c>
      <c r="C62" s="87" t="s">
        <v>100</v>
      </c>
      <c r="D62" s="633" t="s">
        <v>320</v>
      </c>
      <c r="E62" s="110" t="s">
        <v>39</v>
      </c>
      <c r="F62" s="110" t="s">
        <v>94</v>
      </c>
      <c r="G62" s="591">
        <f>'[1]FFIN2 Junho 2018'!$G$46</f>
        <v>22569499.390000001</v>
      </c>
      <c r="H62" s="78">
        <f t="shared" si="8"/>
        <v>2.2042953149147931E-2</v>
      </c>
      <c r="I62" s="367">
        <f>'[1]FFIN2 Junho 2018'!$I$46</f>
        <v>3.09E-2</v>
      </c>
      <c r="J62" s="146"/>
      <c r="K62" s="405"/>
      <c r="L62" s="211" t="s">
        <v>321</v>
      </c>
      <c r="M62" s="640">
        <f>'[1]FFIN2 Junho 2018'!$M$46</f>
        <v>343388176.17000002</v>
      </c>
      <c r="N62" s="378">
        <f t="shared" si="9"/>
        <v>6.5725907169344691E-2</v>
      </c>
      <c r="O62" s="820"/>
      <c r="P62" s="807"/>
      <c r="Q62" s="792"/>
      <c r="R62" s="789"/>
      <c r="S62" s="795"/>
      <c r="T62" s="64"/>
      <c r="U62" s="64"/>
      <c r="V62" s="63"/>
      <c r="W62" s="64"/>
      <c r="X62" s="64"/>
      <c r="Y62" s="182"/>
    </row>
    <row r="63" spans="1:25" s="1" customFormat="1" ht="18.75" thickBot="1" x14ac:dyDescent="0.3">
      <c r="A63" s="185"/>
      <c r="B63" s="334" t="s">
        <v>182</v>
      </c>
      <c r="C63" s="335"/>
      <c r="D63" s="336"/>
      <c r="E63" s="336"/>
      <c r="F63" s="336"/>
      <c r="G63" s="582">
        <f>SUM(G64)</f>
        <v>0</v>
      </c>
      <c r="H63" s="187">
        <f t="shared" si="8"/>
        <v>0</v>
      </c>
      <c r="I63" s="91"/>
      <c r="J63" s="44"/>
      <c r="K63" s="44"/>
      <c r="L63" s="44"/>
      <c r="M63" s="130"/>
      <c r="N63" s="131"/>
      <c r="O63" s="42"/>
      <c r="P63" s="166"/>
      <c r="Q63" s="49"/>
      <c r="R63" s="723"/>
      <c r="S63" s="140"/>
      <c r="T63" s="64"/>
      <c r="U63" s="64"/>
      <c r="V63" s="63"/>
      <c r="W63" s="64"/>
      <c r="X63" s="64"/>
      <c r="Y63" s="182"/>
    </row>
    <row r="64" spans="1:25" s="1" customFormat="1" ht="23.25" thickBot="1" x14ac:dyDescent="0.3">
      <c r="A64" s="185">
        <v>31</v>
      </c>
      <c r="B64" s="188" t="s">
        <v>50</v>
      </c>
      <c r="C64" s="108"/>
      <c r="D64" s="189" t="s">
        <v>101</v>
      </c>
      <c r="E64" s="190" t="s">
        <v>39</v>
      </c>
      <c r="F64" s="115" t="s">
        <v>49</v>
      </c>
      <c r="G64" s="627">
        <f>'[1]FFIN2 Junho 2018'!$G$48</f>
        <v>0</v>
      </c>
      <c r="H64" s="191">
        <f t="shared" si="8"/>
        <v>0</v>
      </c>
      <c r="I64" s="71">
        <f>'[1]FFIN2 Junho 2018'!$I$48</f>
        <v>0</v>
      </c>
      <c r="J64" s="146"/>
      <c r="K64" s="192"/>
      <c r="L64" s="127" t="s">
        <v>95</v>
      </c>
      <c r="M64" s="626">
        <f>'[1]FFIN2 Junho 2018'!$M$48</f>
        <v>0</v>
      </c>
      <c r="N64" s="441" t="e">
        <f>G64/M64</f>
        <v>#DIV/0!</v>
      </c>
      <c r="O64" s="193" t="s">
        <v>102</v>
      </c>
      <c r="P64" s="194">
        <f>G64/G95</f>
        <v>0</v>
      </c>
      <c r="Q64" s="195">
        <v>0.3</v>
      </c>
      <c r="R64" s="196">
        <v>0.02</v>
      </c>
      <c r="S64" s="719" t="s">
        <v>308</v>
      </c>
      <c r="T64" s="64"/>
      <c r="U64" s="64"/>
      <c r="V64" s="63"/>
      <c r="W64" s="64"/>
      <c r="X64" s="64"/>
      <c r="Y64" s="182"/>
    </row>
    <row r="65" spans="1:25" s="53" customFormat="1" ht="18.75" thickBot="1" x14ac:dyDescent="0.25">
      <c r="A65" s="40"/>
      <c r="B65" s="334" t="s">
        <v>181</v>
      </c>
      <c r="C65" s="335"/>
      <c r="D65" s="336"/>
      <c r="E65" s="336"/>
      <c r="F65" s="336"/>
      <c r="G65" s="582">
        <f>SUM(G66:G75)</f>
        <v>82093471.780000001</v>
      </c>
      <c r="H65" s="43">
        <f t="shared" si="8"/>
        <v>8.0178231737794772E-2</v>
      </c>
      <c r="I65" s="91"/>
      <c r="J65" s="29"/>
      <c r="K65" s="44"/>
      <c r="L65" s="44"/>
      <c r="M65" s="130"/>
      <c r="N65" s="131"/>
      <c r="O65" s="165"/>
      <c r="P65" s="723"/>
      <c r="Q65" s="49"/>
      <c r="R65" s="723"/>
      <c r="S65" s="140"/>
      <c r="T65" s="52"/>
      <c r="U65" s="52"/>
      <c r="V65" s="52"/>
      <c r="W65" s="52"/>
      <c r="X65" s="52"/>
      <c r="Y65" s="52"/>
    </row>
    <row r="66" spans="1:25" s="1" customFormat="1" ht="18" x14ac:dyDescent="0.25">
      <c r="A66" s="8">
        <v>34</v>
      </c>
      <c r="B66" s="54" t="s">
        <v>107</v>
      </c>
      <c r="C66" s="197"/>
      <c r="D66" s="68" t="s">
        <v>108</v>
      </c>
      <c r="E66" s="124" t="s">
        <v>39</v>
      </c>
      <c r="F66" s="124" t="s">
        <v>49</v>
      </c>
      <c r="G66" s="384">
        <f>'[1]FFIN2 Junho 2018'!$G$50</f>
        <v>8640776.3699999992</v>
      </c>
      <c r="H66" s="78">
        <f t="shared" si="8"/>
        <v>8.4391871261693275E-3</v>
      </c>
      <c r="I66" s="376">
        <f>'[1]FFIN2 Junho 2018'!$I$50</f>
        <v>-4.0899999999999999E-2</v>
      </c>
      <c r="J66" s="181"/>
      <c r="K66" s="152"/>
      <c r="L66" s="113" t="s">
        <v>95</v>
      </c>
      <c r="M66" s="455">
        <f>'[1]FFIN2 Junho 2018'!$M$50</f>
        <v>196913073.43000001</v>
      </c>
      <c r="N66" s="78">
        <f>G66/M66</f>
        <v>4.3881171623029291E-2</v>
      </c>
      <c r="O66" s="802" t="s">
        <v>102</v>
      </c>
      <c r="P66" s="785">
        <f>SUM(G66:G75)/G95</f>
        <v>8.0178231737794772E-2</v>
      </c>
      <c r="Q66" s="790">
        <v>0.2</v>
      </c>
      <c r="R66" s="791">
        <v>0.15</v>
      </c>
      <c r="S66" s="816" t="s">
        <v>309</v>
      </c>
      <c r="T66" s="634"/>
      <c r="U66" s="64"/>
      <c r="V66" s="63"/>
      <c r="W66" s="64"/>
      <c r="X66" s="64"/>
      <c r="Y66" s="182"/>
    </row>
    <row r="67" spans="1:25" s="1" customFormat="1" ht="18" x14ac:dyDescent="0.25">
      <c r="A67" s="8"/>
      <c r="B67" s="54" t="s">
        <v>107</v>
      </c>
      <c r="C67" s="197"/>
      <c r="D67" s="68" t="s">
        <v>346</v>
      </c>
      <c r="E67" s="124" t="s">
        <v>347</v>
      </c>
      <c r="F67" s="124" t="s">
        <v>348</v>
      </c>
      <c r="G67" s="384">
        <f>'[1]FFIN2 Junho 2018'!$G$51</f>
        <v>5986544.7699999996</v>
      </c>
      <c r="H67" s="78">
        <f t="shared" ref="H67:H68" si="10">G67/$G$71</f>
        <v>2.3826836839861403</v>
      </c>
      <c r="I67" s="376">
        <f>'[1]FFIN2 Junho 2018'!$I$51</f>
        <v>-3.0700000000000002E-2</v>
      </c>
      <c r="J67" s="181"/>
      <c r="K67" s="152"/>
      <c r="L67" s="113" t="s">
        <v>95</v>
      </c>
      <c r="M67" s="455">
        <f>'[1]FFIN2 Junho 2018'!$M$51</f>
        <v>717829001.25999999</v>
      </c>
      <c r="N67" s="78">
        <f t="shared" ref="N67:N68" si="11">G67/M67</f>
        <v>8.3397922896565353E-3</v>
      </c>
      <c r="O67" s="802"/>
      <c r="P67" s="785"/>
      <c r="Q67" s="791"/>
      <c r="R67" s="791"/>
      <c r="S67" s="817"/>
      <c r="T67" s="634"/>
      <c r="U67" s="64"/>
      <c r="V67" s="63"/>
      <c r="W67" s="64"/>
      <c r="X67" s="64"/>
      <c r="Y67" s="182"/>
    </row>
    <row r="68" spans="1:25" s="1" customFormat="1" ht="18" x14ac:dyDescent="0.25">
      <c r="A68" s="8"/>
      <c r="B68" s="54" t="s">
        <v>349</v>
      </c>
      <c r="C68" s="197"/>
      <c r="D68" s="68" t="s">
        <v>346</v>
      </c>
      <c r="E68" s="124" t="s">
        <v>347</v>
      </c>
      <c r="F68" s="124" t="s">
        <v>348</v>
      </c>
      <c r="G68" s="384">
        <f>'[2]FFPREV Junho 2018'!$G$37</f>
        <v>3591926.86</v>
      </c>
      <c r="H68" s="78">
        <f t="shared" si="10"/>
        <v>1.4296102095956713</v>
      </c>
      <c r="I68" s="376">
        <f>'[2]FFPREV Junho 2018'!$I$37</f>
        <v>-3.0700000000000002E-2</v>
      </c>
      <c r="J68" s="181"/>
      <c r="K68" s="152"/>
      <c r="L68" s="113" t="s">
        <v>95</v>
      </c>
      <c r="M68" s="455">
        <f>'[2]FFPREV Junho 2018'!$M$37</f>
        <v>717829001.25999999</v>
      </c>
      <c r="N68" s="78">
        <f t="shared" si="11"/>
        <v>5.0038753710077424E-3</v>
      </c>
      <c r="O68" s="802"/>
      <c r="P68" s="785"/>
      <c r="Q68" s="791"/>
      <c r="R68" s="791"/>
      <c r="S68" s="817"/>
      <c r="T68" s="634"/>
      <c r="U68" s="64"/>
      <c r="V68" s="63"/>
      <c r="W68" s="64"/>
      <c r="X68" s="64"/>
      <c r="Y68" s="182"/>
    </row>
    <row r="69" spans="1:25" s="1" customFormat="1" ht="19.5" thickBot="1" x14ac:dyDescent="0.3">
      <c r="A69" s="8"/>
      <c r="B69" s="107" t="s">
        <v>113</v>
      </c>
      <c r="C69" s="67" t="s">
        <v>114</v>
      </c>
      <c r="D69" s="68" t="s">
        <v>115</v>
      </c>
      <c r="E69" s="124" t="s">
        <v>39</v>
      </c>
      <c r="F69" s="124" t="s">
        <v>49</v>
      </c>
      <c r="G69" s="364">
        <f>'[1]FFIN2 Junho 2018'!$G$52</f>
        <v>21168568.059999999</v>
      </c>
      <c r="H69" s="78">
        <f t="shared" si="8"/>
        <v>2.0674705535909065E-2</v>
      </c>
      <c r="I69" s="358">
        <f>'[1]FFIN2 Junho 2018'!$I$52</f>
        <v>-3.2899999999999999E-2</v>
      </c>
      <c r="J69" s="181"/>
      <c r="K69" s="206"/>
      <c r="L69" s="113" t="s">
        <v>95</v>
      </c>
      <c r="M69" s="451">
        <f>'[1]FFIN2 Junho 2018'!$M$52</f>
        <v>200215339.43000001</v>
      </c>
      <c r="N69" s="70">
        <f t="shared" ref="N69:N73" si="12">G69/M69</f>
        <v>0.1057290021846754</v>
      </c>
      <c r="O69" s="802"/>
      <c r="P69" s="785"/>
      <c r="Q69" s="791"/>
      <c r="R69" s="791"/>
      <c r="S69" s="817"/>
      <c r="T69" s="634"/>
      <c r="U69" s="64"/>
      <c r="V69" s="63"/>
      <c r="W69" s="64"/>
      <c r="X69" s="64"/>
      <c r="Y69" s="182"/>
    </row>
    <row r="70" spans="1:25" s="1" customFormat="1" ht="18" x14ac:dyDescent="0.25">
      <c r="A70" s="8"/>
      <c r="B70" s="54" t="s">
        <v>75</v>
      </c>
      <c r="C70" s="197"/>
      <c r="D70" s="68" t="s">
        <v>103</v>
      </c>
      <c r="E70" s="124" t="s">
        <v>104</v>
      </c>
      <c r="F70" s="124" t="s">
        <v>105</v>
      </c>
      <c r="G70" s="384">
        <f>'[1]FFIN2 Junho 2018'!$G$53</f>
        <v>19582854.940000001</v>
      </c>
      <c r="H70" s="78">
        <f t="shared" si="8"/>
        <v>1.9125987090357881E-2</v>
      </c>
      <c r="I70" s="376">
        <f>'[1]FFIN2 Junho 2018'!$I$53</f>
        <v>-2.5999999999999999E-2</v>
      </c>
      <c r="J70" s="151"/>
      <c r="K70" s="198"/>
      <c r="L70" s="118" t="s">
        <v>95</v>
      </c>
      <c r="M70" s="452">
        <f>'[1]FFIN2 Junho 2018'!$M$53</f>
        <v>599564848.42999995</v>
      </c>
      <c r="N70" s="78">
        <f t="shared" si="12"/>
        <v>3.2661779607792214E-2</v>
      </c>
      <c r="O70" s="802"/>
      <c r="P70" s="785"/>
      <c r="Q70" s="791"/>
      <c r="R70" s="791"/>
      <c r="S70" s="817"/>
      <c r="T70" s="634"/>
      <c r="U70" s="64"/>
      <c r="V70" s="63"/>
      <c r="W70" s="64"/>
      <c r="X70" s="64"/>
      <c r="Y70" s="182"/>
    </row>
    <row r="71" spans="1:25" s="1" customFormat="1" ht="18" x14ac:dyDescent="0.25">
      <c r="A71" s="8"/>
      <c r="B71" s="54" t="s">
        <v>75</v>
      </c>
      <c r="C71" s="197"/>
      <c r="D71" s="68" t="s">
        <v>106</v>
      </c>
      <c r="E71" s="124" t="s">
        <v>39</v>
      </c>
      <c r="F71" s="124" t="s">
        <v>49</v>
      </c>
      <c r="G71" s="384">
        <f>'[1]FFIN2 Junho 2018'!$G$54</f>
        <v>2512521.83</v>
      </c>
      <c r="H71" s="78">
        <f t="shared" si="8"/>
        <v>2.4539047157350982E-3</v>
      </c>
      <c r="I71" s="376">
        <f>'[1]FFIN2 Junho 2018'!$I$54</f>
        <v>-4.3499999999999997E-2</v>
      </c>
      <c r="J71" s="200"/>
      <c r="K71" s="201"/>
      <c r="L71" s="202" t="s">
        <v>95</v>
      </c>
      <c r="M71" s="434">
        <f>'[1]FFIN2 Junho 2018'!$M$54</f>
        <v>472313252.19</v>
      </c>
      <c r="N71" s="119">
        <f t="shared" si="12"/>
        <v>5.3196090059934933E-3</v>
      </c>
      <c r="O71" s="802"/>
      <c r="P71" s="785"/>
      <c r="Q71" s="791"/>
      <c r="R71" s="791"/>
      <c r="S71" s="817"/>
      <c r="T71" s="634"/>
      <c r="U71" s="64"/>
      <c r="V71" s="63"/>
      <c r="W71" s="64"/>
      <c r="X71" s="64"/>
      <c r="Y71" s="182"/>
    </row>
    <row r="72" spans="1:25" s="1" customFormat="1" ht="18" x14ac:dyDescent="0.25">
      <c r="A72" s="8"/>
      <c r="B72" s="54" t="s">
        <v>206</v>
      </c>
      <c r="C72" s="197"/>
      <c r="D72" s="68" t="s">
        <v>103</v>
      </c>
      <c r="E72" s="124" t="s">
        <v>104</v>
      </c>
      <c r="F72" s="124" t="s">
        <v>105</v>
      </c>
      <c r="G72" s="384">
        <f>'[2]FFPREV Junho 2018'!$G$38</f>
        <v>6830119.21</v>
      </c>
      <c r="H72" s="78">
        <f t="shared" si="8"/>
        <v>6.6707725832781646E-3</v>
      </c>
      <c r="I72" s="376">
        <f>'[2]FFPREV Junho 2018'!$I$38</f>
        <v>-2.5999999999999999E-2</v>
      </c>
      <c r="J72" s="181"/>
      <c r="K72" s="388"/>
      <c r="L72" s="387" t="s">
        <v>207</v>
      </c>
      <c r="M72" s="453">
        <f>'[2]FFPREV Junho 2018'!$M$38</f>
        <v>599564848.42999995</v>
      </c>
      <c r="N72" s="389">
        <f t="shared" si="12"/>
        <v>1.1391793945033831E-2</v>
      </c>
      <c r="O72" s="802"/>
      <c r="P72" s="785"/>
      <c r="Q72" s="791"/>
      <c r="R72" s="791"/>
      <c r="S72" s="817"/>
      <c r="T72" s="634"/>
      <c r="U72" s="64"/>
      <c r="V72" s="63"/>
      <c r="W72" s="64"/>
      <c r="X72" s="64"/>
      <c r="Y72" s="182"/>
    </row>
    <row r="73" spans="1:25" s="1" customFormat="1" ht="18" x14ac:dyDescent="0.25">
      <c r="A73" s="8"/>
      <c r="B73" s="54" t="s">
        <v>206</v>
      </c>
      <c r="C73" s="197"/>
      <c r="D73" s="68" t="s">
        <v>208</v>
      </c>
      <c r="E73" s="124" t="s">
        <v>39</v>
      </c>
      <c r="F73" s="124" t="s">
        <v>49</v>
      </c>
      <c r="G73" s="384">
        <f>'[2]FFPREV Junho 2018'!$G$39</f>
        <v>3632146.26</v>
      </c>
      <c r="H73" s="78">
        <f t="shared" si="8"/>
        <v>3.5474083167084756E-3</v>
      </c>
      <c r="I73" s="376">
        <f>'[2]FFPREV Junho 2018'!$I$39</f>
        <v>-4.3499999999999997E-2</v>
      </c>
      <c r="J73" s="181"/>
      <c r="K73" s="390"/>
      <c r="L73" s="387" t="s">
        <v>95</v>
      </c>
      <c r="M73" s="453">
        <f>'[2]FFPREV Junho 2018'!$M$39</f>
        <v>472313252.19</v>
      </c>
      <c r="N73" s="389">
        <f t="shared" si="12"/>
        <v>7.6901214250471141E-3</v>
      </c>
      <c r="O73" s="802"/>
      <c r="P73" s="785"/>
      <c r="Q73" s="791"/>
      <c r="R73" s="791"/>
      <c r="S73" s="817"/>
      <c r="T73" s="634"/>
      <c r="U73" s="64"/>
      <c r="V73" s="63"/>
      <c r="W73" s="64"/>
      <c r="X73" s="64"/>
      <c r="Y73" s="182"/>
    </row>
    <row r="74" spans="1:25" s="1" customFormat="1" ht="18.75" thickBot="1" x14ac:dyDescent="0.3">
      <c r="A74" s="8">
        <v>35</v>
      </c>
      <c r="B74" s="177" t="s">
        <v>50</v>
      </c>
      <c r="C74" s="108"/>
      <c r="D74" s="184" t="s">
        <v>109</v>
      </c>
      <c r="E74" s="110" t="s">
        <v>110</v>
      </c>
      <c r="F74" s="110" t="s">
        <v>111</v>
      </c>
      <c r="G74" s="591">
        <f>'[1]FFIN2 Junho 2018'!$G$55</f>
        <v>6129727.8200000003</v>
      </c>
      <c r="H74" s="78">
        <f t="shared" si="8"/>
        <v>5.9867213188235756E-3</v>
      </c>
      <c r="I74" s="358">
        <f>'[1]FFIN2 Junho 2018'!$I$55</f>
        <v>-5.3400000000000003E-2</v>
      </c>
      <c r="J74" s="116"/>
      <c r="K74" s="198"/>
      <c r="L74" s="113" t="s">
        <v>112</v>
      </c>
      <c r="M74" s="452">
        <f>'[1]FFIN2 Junho 2018'!$M$55</f>
        <v>387954203.89999998</v>
      </c>
      <c r="N74" s="204">
        <f>G74/M74</f>
        <v>1.580013248568899E-2</v>
      </c>
      <c r="O74" s="802"/>
      <c r="P74" s="785"/>
      <c r="Q74" s="791"/>
      <c r="R74" s="791"/>
      <c r="S74" s="817"/>
      <c r="T74" s="635"/>
      <c r="U74" s="64"/>
      <c r="V74" s="63"/>
      <c r="W74" s="64"/>
      <c r="X74" s="64"/>
      <c r="Y74" s="182"/>
    </row>
    <row r="75" spans="1:25" s="1" customFormat="1" ht="18.75" thickBot="1" x14ac:dyDescent="0.3">
      <c r="A75" s="8">
        <v>36</v>
      </c>
      <c r="B75" s="391" t="s">
        <v>209</v>
      </c>
      <c r="C75" s="108"/>
      <c r="D75" s="88" t="s">
        <v>327</v>
      </c>
      <c r="E75" s="180" t="s">
        <v>39</v>
      </c>
      <c r="F75" s="155" t="s">
        <v>49</v>
      </c>
      <c r="G75" s="454">
        <f>'[2]FFPREV Junho 2018'!$G$40</f>
        <v>4018285.66</v>
      </c>
      <c r="H75" s="78">
        <f t="shared" si="8"/>
        <v>3.9245390875846525E-3</v>
      </c>
      <c r="I75" s="367">
        <f>'[2]FFPREV Junho 2018'!$I$40</f>
        <v>-3.1600000000000003E-2</v>
      </c>
      <c r="J75" s="181"/>
      <c r="K75" s="324"/>
      <c r="L75" s="392" t="s">
        <v>211</v>
      </c>
      <c r="M75" s="456">
        <f>'[2]FFPREV Junho 2018'!$M$40</f>
        <v>280172647.86000001</v>
      </c>
      <c r="N75" s="70">
        <f>G75/M75</f>
        <v>1.4342176835220205E-2</v>
      </c>
      <c r="O75" s="802"/>
      <c r="P75" s="785"/>
      <c r="Q75" s="792"/>
      <c r="R75" s="791"/>
      <c r="S75" s="795"/>
      <c r="T75" s="64"/>
      <c r="U75" s="64"/>
      <c r="V75" s="63"/>
      <c r="W75" s="64"/>
      <c r="X75" s="64"/>
      <c r="Y75" s="182"/>
    </row>
    <row r="76" spans="1:25" s="1" customFormat="1" ht="23.25" thickBot="1" x14ac:dyDescent="0.3">
      <c r="A76" s="8"/>
      <c r="B76" s="350" t="s">
        <v>183</v>
      </c>
      <c r="C76" s="338"/>
      <c r="D76" s="348"/>
      <c r="E76" s="340"/>
      <c r="F76" s="342"/>
      <c r="G76" s="612">
        <v>0</v>
      </c>
      <c r="H76" s="215"/>
      <c r="I76" s="116"/>
      <c r="J76" s="408"/>
      <c r="K76" s="318"/>
      <c r="L76" s="409"/>
      <c r="M76" s="317"/>
      <c r="N76" s="187"/>
      <c r="O76" s="410" t="s">
        <v>96</v>
      </c>
      <c r="P76" s="322">
        <v>0</v>
      </c>
      <c r="Q76" s="95">
        <v>0.2</v>
      </c>
      <c r="R76" s="96">
        <v>0</v>
      </c>
      <c r="S76" s="581" t="s">
        <v>310</v>
      </c>
      <c r="T76" s="64"/>
      <c r="U76" s="64"/>
      <c r="V76" s="63"/>
      <c r="W76" s="64"/>
      <c r="X76" s="64"/>
      <c r="Y76" s="182"/>
    </row>
    <row r="77" spans="1:25" s="53" customFormat="1" ht="18.75" thickBot="1" x14ac:dyDescent="0.25">
      <c r="A77" s="40"/>
      <c r="B77" s="350" t="s">
        <v>184</v>
      </c>
      <c r="C77" s="335"/>
      <c r="D77" s="336"/>
      <c r="E77" s="336"/>
      <c r="F77" s="336"/>
      <c r="G77" s="582">
        <f>SUM(G78:G81)</f>
        <v>6955897.96</v>
      </c>
      <c r="H77" s="43">
        <f t="shared" ref="H77:H92" si="13">G77/$G$95</f>
        <v>6.7936169160433312E-3</v>
      </c>
      <c r="I77" s="412"/>
      <c r="J77" s="44"/>
      <c r="K77" s="44"/>
      <c r="L77" s="44"/>
      <c r="M77" s="130"/>
      <c r="N77" s="131"/>
      <c r="O77" s="42"/>
      <c r="P77" s="166"/>
      <c r="Q77" s="723"/>
      <c r="R77" s="723"/>
      <c r="S77" s="140"/>
      <c r="T77" s="52"/>
      <c r="U77" s="52"/>
      <c r="V77" s="52"/>
      <c r="W77" s="52"/>
      <c r="X77" s="52"/>
      <c r="Y77" s="52"/>
    </row>
    <row r="78" spans="1:25" s="1" customFormat="1" ht="18.75" thickBot="1" x14ac:dyDescent="0.3">
      <c r="A78" s="8">
        <v>39</v>
      </c>
      <c r="B78" s="209" t="s">
        <v>116</v>
      </c>
      <c r="C78" s="87" t="s">
        <v>100</v>
      </c>
      <c r="D78" s="210" t="s">
        <v>117</v>
      </c>
      <c r="E78" s="110" t="s">
        <v>38</v>
      </c>
      <c r="F78" s="110" t="s">
        <v>39</v>
      </c>
      <c r="G78" s="591">
        <f>'[1]FFIN2 Junho 2018'!$G$58</f>
        <v>3503122.85</v>
      </c>
      <c r="H78" s="614">
        <f t="shared" si="13"/>
        <v>3.4213950218352439E-3</v>
      </c>
      <c r="I78" s="416">
        <f>'[1]FFIN2 Junho 2018'!$I$58</f>
        <v>1.6000000000000001E-3</v>
      </c>
      <c r="J78" s="117"/>
      <c r="K78" s="377"/>
      <c r="L78" s="211" t="s">
        <v>118</v>
      </c>
      <c r="M78" s="458">
        <f>'[1]FFIN2 Junho 2018'!$M$58</f>
        <v>1037025558.5</v>
      </c>
      <c r="N78" s="378">
        <f>G78/M78</f>
        <v>3.3780487098766139E-3</v>
      </c>
      <c r="O78" s="799" t="s">
        <v>96</v>
      </c>
      <c r="P78" s="796">
        <f>SUM(G78:G81)/G95</f>
        <v>6.7936169160433312E-3</v>
      </c>
      <c r="Q78" s="778">
        <v>0.1</v>
      </c>
      <c r="R78" s="778">
        <v>0.05</v>
      </c>
      <c r="S78" s="813" t="s">
        <v>311</v>
      </c>
      <c r="T78" s="64"/>
      <c r="U78" s="64"/>
      <c r="V78" s="63"/>
      <c r="W78" s="64"/>
      <c r="X78" s="64"/>
      <c r="Y78" s="90"/>
    </row>
    <row r="79" spans="1:25" s="1" customFormat="1" ht="18.75" thickBot="1" x14ac:dyDescent="0.3">
      <c r="A79" s="8"/>
      <c r="B79" s="393" t="s">
        <v>212</v>
      </c>
      <c r="C79" s="87" t="s">
        <v>100</v>
      </c>
      <c r="D79" s="210" t="s">
        <v>117</v>
      </c>
      <c r="E79" s="110" t="s">
        <v>38</v>
      </c>
      <c r="F79" s="110" t="s">
        <v>39</v>
      </c>
      <c r="G79" s="457">
        <f>'[2]FFPREV Junho 2018'!$G$43</f>
        <v>3452775.11</v>
      </c>
      <c r="H79" s="78">
        <f t="shared" si="13"/>
        <v>3.3722218942080877E-3</v>
      </c>
      <c r="I79" s="447">
        <f>'[2]FFPREV Junho 2018'!$I$43</f>
        <v>1.6000000000000001E-3</v>
      </c>
      <c r="J79" s="411"/>
      <c r="K79" s="403"/>
      <c r="L79" s="211" t="s">
        <v>71</v>
      </c>
      <c r="M79" s="458">
        <f>'[2]FFPREV Junho 2018'!$M$43</f>
        <v>1037025558.5</v>
      </c>
      <c r="N79" s="378">
        <f>G79/M79</f>
        <v>3.3294985660664409E-3</v>
      </c>
      <c r="O79" s="800"/>
      <c r="P79" s="797"/>
      <c r="Q79" s="779"/>
      <c r="R79" s="779"/>
      <c r="S79" s="814"/>
      <c r="T79" s="64"/>
      <c r="U79" s="64"/>
      <c r="V79" s="63"/>
      <c r="W79" s="64"/>
      <c r="X79" s="64"/>
      <c r="Y79" s="90"/>
    </row>
    <row r="80" spans="1:25" s="1" customFormat="1" ht="18" x14ac:dyDescent="0.25">
      <c r="A80" s="8">
        <v>40</v>
      </c>
      <c r="B80" s="66" t="s">
        <v>107</v>
      </c>
      <c r="C80" s="197"/>
      <c r="D80" s="179" t="s">
        <v>119</v>
      </c>
      <c r="E80" s="124" t="s">
        <v>120</v>
      </c>
      <c r="F80" s="124" t="s">
        <v>120</v>
      </c>
      <c r="G80" s="384">
        <f>'[1]FFIN2 Junho 2018'!$G$59</f>
        <v>0</v>
      </c>
      <c r="H80" s="78">
        <f t="shared" si="13"/>
        <v>0</v>
      </c>
      <c r="I80" s="415">
        <f>'[1]FFIN2 Junho 2018'!$I$59</f>
        <v>0</v>
      </c>
      <c r="J80" s="111"/>
      <c r="K80" s="126"/>
      <c r="L80" s="113" t="s">
        <v>95</v>
      </c>
      <c r="M80" s="701">
        <f>'[1]FFIN2 Junho 2018'!$M$59</f>
        <v>0</v>
      </c>
      <c r="N80" s="378" t="e">
        <f>G80/M80</f>
        <v>#DIV/0!</v>
      </c>
      <c r="O80" s="800"/>
      <c r="P80" s="797"/>
      <c r="Q80" s="779"/>
      <c r="R80" s="779"/>
      <c r="S80" s="814"/>
      <c r="T80" s="64"/>
      <c r="U80" s="64"/>
      <c r="V80" s="63"/>
      <c r="W80" s="64"/>
      <c r="X80" s="64"/>
      <c r="Y80" s="90"/>
    </row>
    <row r="81" spans="1:25" s="1" customFormat="1" ht="18.75" thickBot="1" x14ac:dyDescent="0.3">
      <c r="A81" s="8"/>
      <c r="B81" s="413" t="s">
        <v>202</v>
      </c>
      <c r="C81" s="197"/>
      <c r="D81" s="88" t="s">
        <v>119</v>
      </c>
      <c r="E81" s="124" t="s">
        <v>120</v>
      </c>
      <c r="F81" s="124" t="s">
        <v>120</v>
      </c>
      <c r="G81" s="366">
        <f>'[2]FFPREV Junho 2018'!$G$44</f>
        <v>0</v>
      </c>
      <c r="H81" s="89">
        <f t="shared" si="13"/>
        <v>0</v>
      </c>
      <c r="I81" s="367">
        <f>'[2]FFPREV Junho 2018'!$I$44</f>
        <v>0</v>
      </c>
      <c r="J81" s="169"/>
      <c r="K81" s="405"/>
      <c r="L81" s="387" t="s">
        <v>95</v>
      </c>
      <c r="M81" s="703">
        <f>'[2]FFPREV Junho 2018'!$M$44</f>
        <v>0</v>
      </c>
      <c r="N81" s="378" t="e">
        <f>G81/M81</f>
        <v>#DIV/0!</v>
      </c>
      <c r="O81" s="801"/>
      <c r="P81" s="798"/>
      <c r="Q81" s="780"/>
      <c r="R81" s="780"/>
      <c r="S81" s="815"/>
      <c r="T81" s="64"/>
      <c r="U81" s="64"/>
      <c r="V81" s="63"/>
      <c r="W81" s="64"/>
      <c r="X81" s="64"/>
      <c r="Y81" s="90"/>
    </row>
    <row r="82" spans="1:25" s="1" customFormat="1" ht="18.75" thickBot="1" x14ac:dyDescent="0.3">
      <c r="A82" s="8"/>
      <c r="B82" s="350" t="s">
        <v>185</v>
      </c>
      <c r="C82" s="335"/>
      <c r="D82" s="336"/>
      <c r="E82" s="336"/>
      <c r="F82" s="336"/>
      <c r="G82" s="582">
        <f>SUM(G83:G87)</f>
        <v>15727817.98</v>
      </c>
      <c r="H82" s="43">
        <f t="shared" si="13"/>
        <v>1.5360888111903594E-2</v>
      </c>
      <c r="I82" s="91"/>
      <c r="J82" s="92"/>
      <c r="K82" s="92"/>
      <c r="L82" s="44"/>
      <c r="M82" s="93"/>
      <c r="N82" s="131"/>
      <c r="O82" s="42"/>
      <c r="P82" s="723"/>
      <c r="Q82" s="49"/>
      <c r="R82" s="49"/>
      <c r="S82" s="140"/>
      <c r="T82" s="64"/>
      <c r="U82" s="64"/>
      <c r="V82" s="63"/>
      <c r="W82" s="64"/>
      <c r="X82" s="64"/>
      <c r="Y82" s="90"/>
    </row>
    <row r="83" spans="1:25" s="1" customFormat="1" ht="18" x14ac:dyDescent="0.25">
      <c r="A83" s="8"/>
      <c r="B83" s="148" t="s">
        <v>124</v>
      </c>
      <c r="C83" s="216"/>
      <c r="D83" s="707" t="s">
        <v>125</v>
      </c>
      <c r="E83" s="100" t="s">
        <v>89</v>
      </c>
      <c r="F83" s="100" t="s">
        <v>89</v>
      </c>
      <c r="G83" s="588">
        <f>'[1]FFIN2 Junho 2018'!$G$61</f>
        <v>14033220.07</v>
      </c>
      <c r="H83" s="102">
        <f t="shared" si="13"/>
        <v>1.3705825157635116E-2</v>
      </c>
      <c r="I83" s="725">
        <f>'[1]FFIN2 Junho 2018'!$I$61</f>
        <v>-1.6509999999999999E-3</v>
      </c>
      <c r="J83" s="712"/>
      <c r="K83" s="220"/>
      <c r="L83" s="216" t="s">
        <v>80</v>
      </c>
      <c r="M83" s="727">
        <f>'[1]FFIN2 Junho 2018'!$M$61</f>
        <v>99577963.319999993</v>
      </c>
      <c r="N83" s="106">
        <f>G83/M83</f>
        <v>0.14092696418085368</v>
      </c>
      <c r="O83" s="781" t="s">
        <v>126</v>
      </c>
      <c r="P83" s="805">
        <f>SUM(G83:G87)/G95</f>
        <v>1.5360888111903594E-2</v>
      </c>
      <c r="Q83" s="808">
        <v>0.05</v>
      </c>
      <c r="R83" s="790">
        <v>0.03</v>
      </c>
      <c r="S83" s="793" t="s">
        <v>312</v>
      </c>
      <c r="T83" s="64"/>
      <c r="U83" s="64"/>
      <c r="V83" s="63"/>
      <c r="W83" s="64"/>
      <c r="X83" s="64"/>
      <c r="Y83" s="90"/>
    </row>
    <row r="84" spans="1:25" s="1" customFormat="1" ht="18" x14ac:dyDescent="0.25">
      <c r="A84" s="8"/>
      <c r="B84" s="706" t="s">
        <v>341</v>
      </c>
      <c r="C84" s="216"/>
      <c r="D84" s="708" t="s">
        <v>340</v>
      </c>
      <c r="E84" s="115" t="s">
        <v>89</v>
      </c>
      <c r="F84" s="190" t="s">
        <v>89</v>
      </c>
      <c r="G84" s="362">
        <f>'[1]FFIN2 Junho 2018'!$G$62</f>
        <v>161180.28</v>
      </c>
      <c r="H84" s="116">
        <f t="shared" si="13"/>
        <v>1.5741994535247621E-4</v>
      </c>
      <c r="I84" s="358">
        <f>'[1]FFIN2 Junho 2018'!$I$62</f>
        <v>-0.28310000000000002</v>
      </c>
      <c r="J84" s="713"/>
      <c r="K84" s="715"/>
      <c r="L84" s="216" t="s">
        <v>80</v>
      </c>
      <c r="M84" s="430">
        <f>'[1]FFIN2 Junho 2018'!$M$62</f>
        <v>6427063.5300000003</v>
      </c>
      <c r="N84" s="119">
        <f>G84/M84</f>
        <v>2.5078370432725441E-2</v>
      </c>
      <c r="O84" s="782"/>
      <c r="P84" s="806"/>
      <c r="Q84" s="809"/>
      <c r="R84" s="791"/>
      <c r="S84" s="794"/>
      <c r="T84" s="64"/>
      <c r="U84" s="64"/>
      <c r="V84" s="63"/>
      <c r="W84" s="64"/>
      <c r="X84" s="64"/>
      <c r="Y84" s="90"/>
    </row>
    <row r="85" spans="1:25" s="1" customFormat="1" ht="18" x14ac:dyDescent="0.25">
      <c r="A85" s="8"/>
      <c r="B85" s="706" t="s">
        <v>342</v>
      </c>
      <c r="C85" s="216"/>
      <c r="D85" s="709" t="s">
        <v>340</v>
      </c>
      <c r="E85" s="115" t="s">
        <v>89</v>
      </c>
      <c r="F85" s="115" t="s">
        <v>89</v>
      </c>
      <c r="G85" s="384">
        <f>'[2]FFPREV Junho 2018'!$G$46</f>
        <v>241770.41</v>
      </c>
      <c r="H85" s="78">
        <f t="shared" si="13"/>
        <v>2.3612990826201423E-4</v>
      </c>
      <c r="I85" s="358">
        <f>'[2]FFPREV Junho 2018'!$I$46</f>
        <v>-0.28310000000000002</v>
      </c>
      <c r="J85" s="224"/>
      <c r="K85" s="714"/>
      <c r="L85" s="216" t="s">
        <v>80</v>
      </c>
      <c r="M85" s="445">
        <f>'[2]FFPREV Junho 2018'!$M$46</f>
        <v>6427063.5300000003</v>
      </c>
      <c r="N85" s="119">
        <f>G85/M85</f>
        <v>3.7617554093167645E-2</v>
      </c>
      <c r="O85" s="782"/>
      <c r="P85" s="806"/>
      <c r="Q85" s="809"/>
      <c r="R85" s="791"/>
      <c r="S85" s="794"/>
      <c r="T85" s="64"/>
      <c r="U85" s="64"/>
      <c r="V85" s="63"/>
      <c r="W85" s="64"/>
      <c r="X85" s="64"/>
      <c r="Y85" s="90"/>
    </row>
    <row r="86" spans="1:25" s="1" customFormat="1" ht="18" x14ac:dyDescent="0.25">
      <c r="A86" s="8"/>
      <c r="B86" s="221" t="s">
        <v>127</v>
      </c>
      <c r="C86" s="222"/>
      <c r="D86" s="223" t="s">
        <v>128</v>
      </c>
      <c r="E86" s="180" t="s">
        <v>89</v>
      </c>
      <c r="F86" s="180" t="s">
        <v>89</v>
      </c>
      <c r="G86" s="384">
        <f>'[1]FFIN2 Junho 2018'!$G$63</f>
        <v>403302.3</v>
      </c>
      <c r="H86" s="78">
        <f t="shared" si="13"/>
        <v>3.9389326055599332E-4</v>
      </c>
      <c r="I86" s="448">
        <f>'[1]FFIN2 Junho 2018'!$I$63</f>
        <v>-1.2999999999999999E-3</v>
      </c>
      <c r="J86" s="224"/>
      <c r="K86" s="225"/>
      <c r="L86" s="226" t="s">
        <v>80</v>
      </c>
      <c r="M86" s="428">
        <f>'[1]FFIN2 Junho 2018'!$M$63</f>
        <v>204831368.47</v>
      </c>
      <c r="N86" s="114">
        <f>G86/M86</f>
        <v>1.9689479351355718E-3</v>
      </c>
      <c r="O86" s="782"/>
      <c r="P86" s="806"/>
      <c r="Q86" s="809"/>
      <c r="R86" s="791"/>
      <c r="S86" s="794"/>
      <c r="T86" s="64"/>
      <c r="U86" s="64"/>
      <c r="V86" s="63"/>
      <c r="W86" s="64"/>
      <c r="X86" s="64"/>
      <c r="Y86" s="90"/>
    </row>
    <row r="87" spans="1:25" s="1" customFormat="1" ht="18.75" thickBot="1" x14ac:dyDescent="0.3">
      <c r="A87" s="8"/>
      <c r="B87" s="227" t="s">
        <v>129</v>
      </c>
      <c r="C87" s="216"/>
      <c r="D87" s="228" t="s">
        <v>130</v>
      </c>
      <c r="E87" s="155" t="s">
        <v>89</v>
      </c>
      <c r="F87" s="155" t="s">
        <v>89</v>
      </c>
      <c r="G87" s="385">
        <f>'[1]FFIN2 Junho 2018'!$G$64</f>
        <v>888344.92</v>
      </c>
      <c r="H87" s="89">
        <f t="shared" si="13"/>
        <v>8.676198400979937E-4</v>
      </c>
      <c r="I87" s="460">
        <f>'[1]FFIN2 Junho 2018'!$I$64</f>
        <v>6.0000000000000001E-3</v>
      </c>
      <c r="J87" s="229"/>
      <c r="K87" s="230"/>
      <c r="L87" s="231" t="s">
        <v>80</v>
      </c>
      <c r="M87" s="428">
        <f>'[1]FFIN2 Junho 2018'!$M$64</f>
        <v>221807385.30000001</v>
      </c>
      <c r="N87" s="171">
        <f>G87/M87</f>
        <v>4.0050285918049634E-3</v>
      </c>
      <c r="O87" s="783"/>
      <c r="P87" s="807"/>
      <c r="Q87" s="810"/>
      <c r="R87" s="792"/>
      <c r="S87" s="795"/>
      <c r="T87" s="64"/>
      <c r="U87" s="64"/>
      <c r="V87" s="63"/>
      <c r="W87" s="64"/>
      <c r="X87" s="64"/>
      <c r="Y87" s="90"/>
    </row>
    <row r="88" spans="1:25" s="53" customFormat="1" ht="18.75" thickBot="1" x14ac:dyDescent="0.25">
      <c r="A88" s="40"/>
      <c r="B88" s="350" t="s">
        <v>186</v>
      </c>
      <c r="C88" s="335"/>
      <c r="D88" s="336"/>
      <c r="E88" s="336"/>
      <c r="F88" s="336"/>
      <c r="G88" s="582">
        <f>SUM(G89:G90)</f>
        <v>13786725.529999999</v>
      </c>
      <c r="H88" s="43">
        <f t="shared" si="13"/>
        <v>1.3465081333288343E-2</v>
      </c>
      <c r="I88" s="91"/>
      <c r="J88" s="92"/>
      <c r="K88" s="44"/>
      <c r="L88" s="44"/>
      <c r="M88" s="130"/>
      <c r="N88" s="131"/>
      <c r="O88" s="42"/>
      <c r="P88" s="723"/>
      <c r="Q88" s="166"/>
      <c r="R88" s="166"/>
      <c r="S88" s="580"/>
      <c r="T88" s="52"/>
      <c r="U88" s="52"/>
      <c r="V88" s="52"/>
      <c r="W88" s="52"/>
      <c r="X88" s="52"/>
      <c r="Y88" s="52"/>
    </row>
    <row r="89" spans="1:25" s="53" customFormat="1" ht="16.5" customHeight="1" x14ac:dyDescent="0.25">
      <c r="A89" s="212">
        <v>41</v>
      </c>
      <c r="B89" s="97" t="s">
        <v>161</v>
      </c>
      <c r="C89" s="98"/>
      <c r="D89" s="134" t="s">
        <v>162</v>
      </c>
      <c r="E89" s="101" t="s">
        <v>89</v>
      </c>
      <c r="F89" s="101" t="s">
        <v>89</v>
      </c>
      <c r="G89" s="588">
        <f>'[1]FFIN2 Junho 2018'!$G$66</f>
        <v>4999900</v>
      </c>
      <c r="H89" s="213">
        <f t="shared" si="13"/>
        <v>4.8832523728575593E-3</v>
      </c>
      <c r="I89" s="416">
        <f>'[1]FFIN2 Junho 2018'!$I$66</f>
        <v>3.09E-2</v>
      </c>
      <c r="J89" s="214"/>
      <c r="K89" s="104"/>
      <c r="L89" s="105" t="s">
        <v>71</v>
      </c>
      <c r="M89" s="427">
        <f>'[1]FFIN2 Junho 2018'!$M$66</f>
        <v>234883607.43000001</v>
      </c>
      <c r="N89" s="135">
        <f>G89/M89</f>
        <v>2.1286713256437318E-2</v>
      </c>
      <c r="O89" s="799" t="s">
        <v>121</v>
      </c>
      <c r="P89" s="796">
        <f>SUM(G89:G90)/G95</f>
        <v>1.3465081333288343E-2</v>
      </c>
      <c r="Q89" s="790">
        <v>0.05</v>
      </c>
      <c r="R89" s="790">
        <v>0.03</v>
      </c>
      <c r="S89" s="793" t="s">
        <v>313</v>
      </c>
      <c r="T89" s="52"/>
      <c r="U89" s="52"/>
      <c r="V89" s="52"/>
      <c r="W89" s="52"/>
      <c r="X89" s="52"/>
      <c r="Y89" s="52"/>
    </row>
    <row r="90" spans="1:25" s="1" customFormat="1" ht="18.75" thickBot="1" x14ac:dyDescent="0.3">
      <c r="A90" s="8">
        <v>42</v>
      </c>
      <c r="B90" s="167" t="s">
        <v>122</v>
      </c>
      <c r="C90" s="108"/>
      <c r="D90" s="87" t="s">
        <v>123</v>
      </c>
      <c r="E90" s="168" t="s">
        <v>89</v>
      </c>
      <c r="F90" s="168" t="s">
        <v>89</v>
      </c>
      <c r="G90" s="385">
        <f>'[1]FFIN2 Junho 2018'!$G$67</f>
        <v>8786825.5299999993</v>
      </c>
      <c r="H90" s="215">
        <f t="shared" si="13"/>
        <v>8.5818289604307832E-3</v>
      </c>
      <c r="I90" s="460">
        <f>'[1]FFIN2 Junho 2018'!$I$67</f>
        <v>-1.2999999999999999E-2</v>
      </c>
      <c r="J90" s="138"/>
      <c r="K90" s="208"/>
      <c r="L90" s="159" t="s">
        <v>71</v>
      </c>
      <c r="M90" s="446">
        <f>'[1]FFIN2 Junho 2018'!$M$67</f>
        <v>139961308.88999999</v>
      </c>
      <c r="N90" s="624">
        <f>G90/M90</f>
        <v>6.2780389806913306E-2</v>
      </c>
      <c r="O90" s="801"/>
      <c r="P90" s="798"/>
      <c r="Q90" s="792"/>
      <c r="R90" s="792"/>
      <c r="S90" s="795"/>
      <c r="T90" s="64"/>
      <c r="U90" s="64"/>
      <c r="V90" s="63"/>
      <c r="W90" s="64"/>
      <c r="X90" s="63"/>
      <c r="Y90" s="65"/>
    </row>
    <row r="91" spans="1:25" s="1" customFormat="1" ht="12" customHeight="1" thickBot="1" x14ac:dyDescent="0.3">
      <c r="A91" s="185"/>
      <c r="B91" s="186" t="s">
        <v>131</v>
      </c>
      <c r="C91" s="41"/>
      <c r="D91" s="42"/>
      <c r="E91" s="232"/>
      <c r="F91" s="232"/>
      <c r="G91" s="592">
        <f>SUM(G92:G94)</f>
        <v>8778.41</v>
      </c>
      <c r="H91" s="233">
        <f t="shared" si="13"/>
        <v>8.5736097646785986E-6</v>
      </c>
      <c r="I91" s="234"/>
      <c r="J91" s="235"/>
      <c r="K91" s="235"/>
      <c r="L91" s="235"/>
      <c r="M91" s="236"/>
      <c r="N91" s="131"/>
      <c r="O91" s="237"/>
      <c r="P91" s="238">
        <f>SUM((G60+G63+G65+G77+G88)/G95)*100</f>
        <v>15.598666259214433</v>
      </c>
      <c r="Q91" s="239"/>
      <c r="R91" s="240">
        <f>SUM(P60+P91+P92+P93)/100</f>
        <v>0.98463062401442958</v>
      </c>
      <c r="S91" s="51"/>
      <c r="T91" s="216"/>
      <c r="U91" s="216"/>
      <c r="V91" s="216"/>
      <c r="W91" s="216"/>
      <c r="X91" s="216"/>
    </row>
    <row r="92" spans="1:25" s="1" customFormat="1" ht="18" x14ac:dyDescent="0.25">
      <c r="A92" s="185">
        <v>46</v>
      </c>
      <c r="B92" s="241" t="s">
        <v>132</v>
      </c>
      <c r="C92" s="242"/>
      <c r="D92" s="243"/>
      <c r="E92" s="244"/>
      <c r="F92" s="245"/>
      <c r="G92" s="705">
        <f>'[1]FFIN2 Junho 2018'!$G$69</f>
        <v>1884.73</v>
      </c>
      <c r="H92" s="199">
        <f t="shared" si="13"/>
        <v>1.8407592641244478E-6</v>
      </c>
      <c r="I92" s="142">
        <f>'[1]FFIN2 Junho 2018'!$I$69</f>
        <v>0</v>
      </c>
      <c r="J92" s="246"/>
      <c r="K92" s="247"/>
      <c r="L92" s="248"/>
      <c r="M92" s="249"/>
      <c r="N92" s="250"/>
      <c r="O92" s="803" t="s">
        <v>133</v>
      </c>
      <c r="P92" s="811">
        <f>SUM(G92:G94)/G95</f>
        <v>8.5736097646785986E-6</v>
      </c>
      <c r="Q92" s="574"/>
      <c r="R92" s="251"/>
      <c r="S92" s="245"/>
      <c r="T92" s="216"/>
      <c r="U92" s="216"/>
      <c r="V92" s="216"/>
      <c r="W92" s="216"/>
      <c r="X92" s="216"/>
    </row>
    <row r="93" spans="1:25" s="216" customFormat="1" ht="18.75" thickBot="1" x14ac:dyDescent="0.3">
      <c r="A93" s="8">
        <v>47</v>
      </c>
      <c r="B93" s="252" t="s">
        <v>134</v>
      </c>
      <c r="C93" s="253"/>
      <c r="D93" s="254"/>
      <c r="E93" s="255"/>
      <c r="F93" s="253"/>
      <c r="G93" s="665">
        <f>'[1]FFIN2 Junho 2018'!$G$70</f>
        <v>2010.25</v>
      </c>
      <c r="H93" s="256">
        <v>9.5999999999999992E-3</v>
      </c>
      <c r="I93" s="71">
        <f>'[1]FFIN2 Junho 2018'!$I$70</f>
        <v>0</v>
      </c>
      <c r="J93" s="257"/>
      <c r="K93" s="258"/>
      <c r="L93" s="259"/>
      <c r="M93" s="260"/>
      <c r="N93" s="261"/>
      <c r="O93" s="804"/>
      <c r="P93" s="812"/>
      <c r="Q93" s="253"/>
      <c r="R93" s="262"/>
      <c r="S93" s="255"/>
      <c r="T93" s="263"/>
      <c r="V93" s="264"/>
      <c r="Y93" s="1"/>
    </row>
    <row r="94" spans="1:25" s="216" customFormat="1" ht="18" x14ac:dyDescent="0.25">
      <c r="A94" s="8"/>
      <c r="B94" s="401" t="s">
        <v>334</v>
      </c>
      <c r="C94" s="242"/>
      <c r="D94" s="254"/>
      <c r="E94" s="402"/>
      <c r="F94" s="255"/>
      <c r="G94" s="665">
        <f>'[2]FFPREV Junho 2018'!$G$48</f>
        <v>4883.43</v>
      </c>
      <c r="H94" s="70">
        <f>G94/$G$89</f>
        <v>9.7670553411068235E-4</v>
      </c>
      <c r="I94" s="71">
        <f>'[2]FFPREV Junho 2018'!$I$50</f>
        <v>0</v>
      </c>
      <c r="J94" s="394"/>
      <c r="K94" s="395"/>
      <c r="L94" s="396"/>
      <c r="M94" s="397"/>
      <c r="N94" s="398"/>
      <c r="O94" s="576"/>
      <c r="P94" s="812"/>
      <c r="Q94" s="575"/>
      <c r="R94" s="399"/>
      <c r="S94" s="400"/>
      <c r="T94" s="263"/>
      <c r="V94" s="264"/>
      <c r="Y94" s="1"/>
    </row>
    <row r="95" spans="1:25" s="216" customFormat="1" ht="18.75" thickBot="1" x14ac:dyDescent="0.3">
      <c r="A95" s="8"/>
      <c r="B95" s="265" t="s">
        <v>135</v>
      </c>
      <c r="C95" s="266"/>
      <c r="D95" s="267"/>
      <c r="E95" s="268"/>
      <c r="F95" s="268"/>
      <c r="G95" s="594">
        <f>G4+G15+G29+G30+G31+G39+G40+G50+G51+G52+G53+G54+G58+G59+G60+G63+G65+G76+G77+G82+G88+G91</f>
        <v>1023887282.1300001</v>
      </c>
      <c r="H95" s="269">
        <f>G95/$G$95</f>
        <v>1</v>
      </c>
      <c r="I95" s="270"/>
      <c r="J95" s="271"/>
      <c r="K95" s="272"/>
      <c r="L95" s="273"/>
      <c r="M95" s="274"/>
      <c r="N95" s="275"/>
      <c r="O95" s="577"/>
      <c r="P95" s="579">
        <f>SUM(P5+P16+P55+P56+P61+P64+P66+P78+P83+P89+P92+P93)</f>
        <v>0.73494552199590368</v>
      </c>
      <c r="Q95" s="578"/>
      <c r="R95" s="276"/>
      <c r="S95" s="277"/>
      <c r="T95" s="263"/>
      <c r="V95" s="264"/>
      <c r="Y95" s="1"/>
    </row>
    <row r="96" spans="1:25" s="216" customFormat="1" x14ac:dyDescent="0.25">
      <c r="A96" s="1"/>
      <c r="B96" s="278" t="str">
        <f>'[1]FFIN2 Junho 2018'!$B$72</f>
        <v>Meta Atuarial(INPC 1,43 + 0,486755)</v>
      </c>
      <c r="C96" s="278"/>
      <c r="D96" s="279"/>
      <c r="E96" s="279">
        <f>'[1]FFIN2 Junho 2018'!$E$72</f>
        <v>1.9199999999999998E-2</v>
      </c>
      <c r="F96" s="279"/>
      <c r="G96" s="278" t="s">
        <v>136</v>
      </c>
      <c r="H96" s="280">
        <f>'[1]FFIN2 Junho 2018'!$H$72</f>
        <v>-5.1999999999999998E-2</v>
      </c>
      <c r="I96" s="281"/>
      <c r="J96" s="278" t="s">
        <v>137</v>
      </c>
      <c r="K96" s="280">
        <f>'[1]FFIN2 Junho 2018'!$K$72</f>
        <v>-4.0099999999999997E-2</v>
      </c>
      <c r="L96" s="281"/>
      <c r="M96" s="282" t="s">
        <v>138</v>
      </c>
      <c r="N96" s="280">
        <f>'[1]FFIN2 Junho 2018'!$N$72</f>
        <v>4.4200000000000001E-4</v>
      </c>
      <c r="O96" s="1"/>
      <c r="P96" s="280" t="s">
        <v>317</v>
      </c>
      <c r="Q96" s="1"/>
      <c r="R96" s="280"/>
      <c r="S96" s="283">
        <v>2.2200000000000001E-2</v>
      </c>
      <c r="Y96" s="1"/>
    </row>
    <row r="97" spans="1:25" s="216" customFormat="1" x14ac:dyDescent="0.25">
      <c r="A97" s="1"/>
      <c r="B97" s="278" t="s">
        <v>335</v>
      </c>
      <c r="C97" s="284"/>
      <c r="D97" s="278"/>
      <c r="E97" s="718">
        <v>-2.0999999999999999E-3</v>
      </c>
      <c r="F97" s="280"/>
      <c r="G97" s="278" t="s">
        <v>140</v>
      </c>
      <c r="H97" s="280">
        <f>'[1]FFIN2 Junho 2018'!$H$73</f>
        <v>-5.1999999999999998E-2</v>
      </c>
      <c r="I97" s="278"/>
      <c r="J97" s="278" t="s">
        <v>141</v>
      </c>
      <c r="K97" s="280">
        <f>'[1]FFIN2 Junho 2018'!$K$73</f>
        <v>-3.2009999999999999E-3</v>
      </c>
      <c r="L97" s="280"/>
      <c r="M97" s="282" t="s">
        <v>142</v>
      </c>
      <c r="N97" s="280">
        <f>'[1]FFIN2 Junho 2018'!$N$73</f>
        <v>5.45E-3</v>
      </c>
      <c r="O97" s="1"/>
      <c r="P97" s="286" t="s">
        <v>143</v>
      </c>
      <c r="Q97" s="1"/>
      <c r="R97" s="1"/>
      <c r="S97" s="283">
        <v>5.5500000000000001E-2</v>
      </c>
      <c r="Y97" s="1"/>
    </row>
    <row r="98" spans="1:25" s="216" customFormat="1" x14ac:dyDescent="0.25">
      <c r="A98" s="1"/>
      <c r="B98" s="278" t="s">
        <v>144</v>
      </c>
      <c r="C98" s="1"/>
      <c r="D98" s="280"/>
      <c r="E98" s="280">
        <f>'[1]FFIN2 Junho 2018'!$E$74</f>
        <v>1.43E-2</v>
      </c>
      <c r="F98" s="280"/>
      <c r="G98" s="278" t="s">
        <v>145</v>
      </c>
      <c r="H98" s="280">
        <f>'[1]FFIN2 Junho 2018'!$H$74</f>
        <v>-5.2999999999999999E-2</v>
      </c>
      <c r="I98" s="278"/>
      <c r="J98" s="278" t="s">
        <v>146</v>
      </c>
      <c r="K98" s="280">
        <f>'[1]FFIN2 Junho 2018'!$K$74</f>
        <v>1.199E-3</v>
      </c>
      <c r="L98" s="280"/>
      <c r="M98" s="282" t="s">
        <v>147</v>
      </c>
      <c r="N98" s="280">
        <f>'[1]FFIN2 Junho 2018'!$N$74</f>
        <v>-1.4630000000000001E-3</v>
      </c>
      <c r="O98" s="280"/>
      <c r="P98" s="286" t="s">
        <v>318</v>
      </c>
      <c r="Q98" s="1"/>
      <c r="R98" s="1"/>
      <c r="S98" s="283">
        <v>0.1149</v>
      </c>
      <c r="T98" s="287"/>
      <c r="Y98" s="1"/>
    </row>
    <row r="99" spans="1:25" s="216" customFormat="1" x14ac:dyDescent="0.25">
      <c r="A99" s="1"/>
      <c r="B99" s="278" t="s">
        <v>118</v>
      </c>
      <c r="C99" s="280"/>
      <c r="D99" s="280"/>
      <c r="E99" s="288">
        <f>'[1]FFIN2 Junho 2018'!$E$75</f>
        <v>5.1999999999999998E-3</v>
      </c>
      <c r="F99" s="288"/>
      <c r="G99" s="278" t="s">
        <v>148</v>
      </c>
      <c r="H99" s="280">
        <f>'[1]FFIN2 Junho 2018'!$H$75</f>
        <v>-3.6600000000000001E-2</v>
      </c>
      <c r="I99" s="278"/>
      <c r="J99" s="278" t="s">
        <v>149</v>
      </c>
      <c r="K99" s="280">
        <f>'[1]FFIN2 Junho 2018'!$K$75</f>
        <v>4.4970000000000001E-3</v>
      </c>
      <c r="L99" s="280"/>
      <c r="M99" s="282" t="s">
        <v>150</v>
      </c>
      <c r="N99" s="280">
        <f>'[1]FFIN2 Junho 2018'!$N$75</f>
        <v>6.8910000000000004E-3</v>
      </c>
      <c r="O99" s="280"/>
      <c r="P99" s="286" t="s">
        <v>151</v>
      </c>
      <c r="Q99" s="1"/>
      <c r="R99" s="1"/>
      <c r="S99" s="283">
        <v>9.69E-2</v>
      </c>
      <c r="Y99" s="1"/>
    </row>
    <row r="100" spans="1:25" s="216" customFormat="1" x14ac:dyDescent="0.25">
      <c r="A100" s="1"/>
      <c r="B100" s="278" t="s">
        <v>80</v>
      </c>
      <c r="C100" s="1"/>
      <c r="D100" s="280"/>
      <c r="E100" s="288">
        <f>'[1]FFIN2 Junho 2018'!$E$76</f>
        <v>1.26E-2</v>
      </c>
      <c r="F100" s="288"/>
      <c r="G100" s="278" t="s">
        <v>112</v>
      </c>
      <c r="H100" s="280">
        <f>'[1]FFIN2 Junho 2018'!$H$76</f>
        <v>-4.3299999999999998E-2</v>
      </c>
      <c r="I100" s="1"/>
      <c r="J100" s="278" t="s">
        <v>152</v>
      </c>
      <c r="K100" s="280">
        <f>'[1]FFIN2 Junho 2018'!$K$76</f>
        <v>-1.0784999999999999E-2</v>
      </c>
      <c r="L100" s="1"/>
      <c r="M100" s="282" t="s">
        <v>153</v>
      </c>
      <c r="N100" s="280">
        <f>'[1]FFIN2 Junho 2018'!$N$76</f>
        <v>5.208E-3</v>
      </c>
      <c r="O100" s="280"/>
      <c r="P100" s="286"/>
      <c r="Q100" s="1"/>
      <c r="R100" s="1"/>
      <c r="S100" s="289">
        <f>'[2]FFPREV Junho 2018'!$G$51</f>
        <v>257594550.72</v>
      </c>
      <c r="T100" s="290"/>
      <c r="Y100" s="1"/>
    </row>
    <row r="101" spans="1:25" s="216" customFormat="1" x14ac:dyDescent="0.25">
      <c r="A101" s="1"/>
      <c r="B101" s="1"/>
      <c r="C101" s="1"/>
      <c r="D101" s="1"/>
      <c r="E101" s="1"/>
      <c r="F101" s="1"/>
      <c r="G101" s="278"/>
      <c r="H101" s="280" t="s">
        <v>154</v>
      </c>
      <c r="I101" s="1"/>
      <c r="J101" s="278"/>
      <c r="K101" s="280"/>
      <c r="L101" s="1"/>
      <c r="M101" s="282"/>
      <c r="N101" s="291"/>
      <c r="O101" s="280"/>
      <c r="P101" s="1"/>
      <c r="Q101" s="1"/>
      <c r="R101" s="1"/>
      <c r="S101" s="292">
        <f>'[1]FFIN2 Junho 2018'!$G$71</f>
        <v>766292731.41000009</v>
      </c>
      <c r="Y101" s="1"/>
    </row>
    <row r="102" spans="1:25" s="1" customFormat="1" x14ac:dyDescent="0.25">
      <c r="D102" t="s">
        <v>155</v>
      </c>
      <c r="G102" s="293">
        <f>S102</f>
        <v>1023887282.1300001</v>
      </c>
      <c r="H102" s="280"/>
      <c r="J102" s="278"/>
      <c r="K102" s="280"/>
      <c r="M102" s="294"/>
      <c r="N102" s="291"/>
      <c r="O102" s="280"/>
      <c r="S102" s="295">
        <f>S100+S101</f>
        <v>1023887282.1300001</v>
      </c>
      <c r="T102" s="216"/>
      <c r="U102" s="216"/>
      <c r="V102" s="216"/>
      <c r="W102" s="216"/>
      <c r="X102" s="216"/>
    </row>
    <row r="103" spans="1:25" s="7" customFormat="1" x14ac:dyDescent="0.25">
      <c r="A103"/>
      <c r="B103"/>
      <c r="C103"/>
      <c r="D103"/>
      <c r="E103"/>
      <c r="F103"/>
      <c r="G103" s="296"/>
      <c r="H103" s="280"/>
      <c r="I103" s="1"/>
      <c r="J103" s="278"/>
      <c r="K103" s="280"/>
      <c r="L103" s="1"/>
      <c r="M103" s="294"/>
      <c r="N103" s="291"/>
      <c r="O103"/>
      <c r="P103"/>
      <c r="Q103"/>
      <c r="R103"/>
      <c r="S103" s="295"/>
      <c r="Y103"/>
    </row>
    <row r="104" spans="1:25" s="7" customFormat="1" x14ac:dyDescent="0.25">
      <c r="A104"/>
      <c r="B104" s="278"/>
      <c r="C104" s="278"/>
      <c r="D104" s="278"/>
      <c r="E104" s="279"/>
      <c r="F104" s="279"/>
      <c r="G104" s="296"/>
      <c r="H104" s="291"/>
      <c r="I104" s="1"/>
      <c r="J104" s="1"/>
      <c r="K104" s="1"/>
      <c r="L104" s="1"/>
      <c r="M104" s="294"/>
      <c r="N104" s="291"/>
      <c r="O104"/>
      <c r="P104"/>
      <c r="Q104"/>
      <c r="R104"/>
      <c r="S104"/>
      <c r="Y104"/>
    </row>
    <row r="105" spans="1:25" s="7" customFormat="1" x14ac:dyDescent="0.25">
      <c r="A105"/>
      <c r="B105" s="278"/>
      <c r="C105" s="278"/>
      <c r="D105" s="278"/>
      <c r="E105" s="280"/>
      <c r="F105" s="280"/>
      <c r="G105" s="301"/>
      <c r="H105" s="291"/>
      <c r="I105" s="1"/>
      <c r="J105" s="1"/>
      <c r="K105" s="1"/>
      <c r="L105" s="1"/>
      <c r="M105" s="294"/>
      <c r="N105" s="291"/>
      <c r="O105"/>
      <c r="P105"/>
      <c r="Q105"/>
      <c r="R105"/>
      <c r="S105"/>
      <c r="Y105"/>
    </row>
    <row r="106" spans="1:25" s="7" customFormat="1" x14ac:dyDescent="0.25">
      <c r="A106"/>
      <c r="B106" s="278"/>
      <c r="C106" s="1"/>
      <c r="D106" s="280"/>
      <c r="E106" s="280"/>
      <c r="F106" s="280"/>
      <c r="G106" s="296"/>
      <c r="H106" s="291"/>
      <c r="I106" s="1"/>
      <c r="J106" s="1"/>
      <c r="K106" s="1"/>
      <c r="L106" s="1"/>
      <c r="M106" s="294"/>
      <c r="N106" s="291"/>
      <c r="O106"/>
      <c r="P106"/>
      <c r="Q106"/>
      <c r="R106"/>
      <c r="S106"/>
      <c r="Y106"/>
    </row>
    <row r="107" spans="1:25" s="7" customFormat="1" x14ac:dyDescent="0.25">
      <c r="A107"/>
      <c r="B107" s="278"/>
      <c r="C107" s="280"/>
      <c r="D107" s="280"/>
      <c r="E107" s="286"/>
      <c r="F107" s="286"/>
      <c r="G107" s="296"/>
      <c r="H107" s="291"/>
      <c r="I107" s="1"/>
      <c r="J107" s="1"/>
      <c r="K107" s="1"/>
      <c r="L107" s="1"/>
      <c r="M107" s="294" t="s">
        <v>156</v>
      </c>
      <c r="N107" s="291"/>
      <c r="O107"/>
      <c r="P107"/>
      <c r="Q107"/>
      <c r="R107"/>
      <c r="S107"/>
      <c r="Y107"/>
    </row>
    <row r="108" spans="1:25" s="7" customFormat="1" x14ac:dyDescent="0.25">
      <c r="A108"/>
      <c r="B108" s="278" t="s">
        <v>60</v>
      </c>
      <c r="C108" s="1"/>
      <c r="D108" s="280" t="s">
        <v>157</v>
      </c>
      <c r="E108" s="302">
        <v>1E-3</v>
      </c>
      <c r="F108" s="1"/>
      <c r="G108" s="296">
        <f>G4+G15+G29+G30+G31+G39+G40+G50+G51+G52+G53+G54+G58+G59</f>
        <v>848437925.73000014</v>
      </c>
      <c r="H108" s="291">
        <f>G108/G111</f>
        <v>0.82864387568618747</v>
      </c>
      <c r="I108" s="1"/>
      <c r="J108" s="1" t="s">
        <v>60</v>
      </c>
      <c r="K108" s="1"/>
      <c r="L108" s="1"/>
      <c r="M108" s="629">
        <f>G122</f>
        <v>848437925.73000014</v>
      </c>
      <c r="N108" s="291">
        <f>M108/M111</f>
        <v>0.82864387568618747</v>
      </c>
      <c r="O108"/>
      <c r="P108"/>
      <c r="Q108"/>
      <c r="R108"/>
      <c r="S108"/>
      <c r="Y108"/>
    </row>
    <row r="109" spans="1:25" s="7" customFormat="1" x14ac:dyDescent="0.25">
      <c r="A109"/>
      <c r="B109" t="s">
        <v>96</v>
      </c>
      <c r="C109"/>
      <c r="D109" s="280" t="s">
        <v>157</v>
      </c>
      <c r="E109" s="717">
        <v>-1.6799999999999999E-2</v>
      </c>
      <c r="F109"/>
      <c r="G109" s="296">
        <f>G60+G63+G64+G65+G76+G77+G82+G88</f>
        <v>175440577.99000001</v>
      </c>
      <c r="H109" s="291">
        <f>G109/G111</f>
        <v>0.17134755070404792</v>
      </c>
      <c r="I109" s="1"/>
      <c r="J109" s="1" t="s">
        <v>96</v>
      </c>
      <c r="K109" s="1"/>
      <c r="L109" s="1"/>
      <c r="M109" s="629">
        <f>G137</f>
        <v>175440577.99000001</v>
      </c>
      <c r="N109" s="291">
        <f>M109/M111</f>
        <v>0.17134755070404792</v>
      </c>
      <c r="O109"/>
      <c r="P109"/>
      <c r="Q109"/>
      <c r="R109"/>
      <c r="S109"/>
      <c r="Y109"/>
    </row>
    <row r="110" spans="1:25" s="7" customFormat="1" x14ac:dyDescent="0.25">
      <c r="A110"/>
      <c r="B110" t="s">
        <v>158</v>
      </c>
      <c r="C110"/>
      <c r="D110"/>
      <c r="E110" s="304"/>
      <c r="F110"/>
      <c r="G110" s="296">
        <f>G91</f>
        <v>8778.41</v>
      </c>
      <c r="H110" s="291">
        <f>G110/G111</f>
        <v>8.5736097646785986E-6</v>
      </c>
      <c r="I110" s="1"/>
      <c r="J110" s="1" t="s">
        <v>159</v>
      </c>
      <c r="K110" s="1"/>
      <c r="L110" s="1"/>
      <c r="M110" s="629">
        <f>G145</f>
        <v>8778.41</v>
      </c>
      <c r="N110" s="291">
        <f>M110/M111</f>
        <v>8.5736097646785986E-6</v>
      </c>
      <c r="O110"/>
      <c r="P110"/>
      <c r="Q110"/>
      <c r="R110"/>
      <c r="S110"/>
      <c r="Y110"/>
    </row>
    <row r="111" spans="1:25" s="7" customFormat="1" x14ac:dyDescent="0.25">
      <c r="A111"/>
      <c r="B111"/>
      <c r="C111"/>
      <c r="D111"/>
      <c r="E111" s="717">
        <v>-2.0999999999999999E-3</v>
      </c>
      <c r="F111"/>
      <c r="G111" s="296">
        <f>G108+G109+G110</f>
        <v>1023887282.1300001</v>
      </c>
      <c r="H111" s="291">
        <f>SUM(H108:H110)</f>
        <v>1</v>
      </c>
      <c r="I111" s="1"/>
      <c r="J111" s="216" t="s">
        <v>160</v>
      </c>
      <c r="K111" s="216"/>
      <c r="L111" s="216"/>
      <c r="M111" s="629">
        <f>M108+M109+M110</f>
        <v>1023887282.1300001</v>
      </c>
      <c r="N111" s="291">
        <f>N108+N109+N110</f>
        <v>1</v>
      </c>
      <c r="O111"/>
      <c r="P111"/>
      <c r="Q111"/>
      <c r="R111"/>
      <c r="S111"/>
      <c r="Y111"/>
    </row>
    <row r="112" spans="1:25" s="7" customFormat="1" x14ac:dyDescent="0.25">
      <c r="A112"/>
      <c r="B112"/>
      <c r="C112"/>
      <c r="D112"/>
      <c r="E112" s="305"/>
      <c r="F112"/>
      <c r="G112" s="1"/>
      <c r="H112" s="291"/>
      <c r="I112" s="1"/>
      <c r="J112" s="1"/>
      <c r="K112" s="1"/>
      <c r="L112" s="1"/>
      <c r="M112" s="294"/>
      <c r="N112" s="291"/>
      <c r="O112"/>
      <c r="P112"/>
      <c r="Q112"/>
      <c r="R112"/>
      <c r="S112"/>
      <c r="Y112"/>
    </row>
    <row r="113" spans="1:25" s="7" customFormat="1" x14ac:dyDescent="0.25">
      <c r="A113"/>
      <c r="B113"/>
      <c r="C113"/>
      <c r="D113"/>
      <c r="E113"/>
      <c r="F113"/>
      <c r="G113" s="1"/>
      <c r="H113" s="291"/>
      <c r="I113" s="1"/>
      <c r="J113" s="1"/>
      <c r="K113" s="1"/>
      <c r="L113" s="1"/>
      <c r="M113" s="294"/>
      <c r="N113" s="291"/>
      <c r="O113"/>
      <c r="P113"/>
      <c r="Q113"/>
      <c r="R113"/>
      <c r="S113"/>
      <c r="Y113"/>
    </row>
    <row r="114" spans="1:25" s="7" customFormat="1" x14ac:dyDescent="0.25">
      <c r="A114"/>
      <c r="B114"/>
      <c r="C114"/>
      <c r="D114"/>
      <c r="E114"/>
      <c r="F114"/>
      <c r="G114" s="1"/>
      <c r="H114" s="291"/>
      <c r="I114" s="1"/>
      <c r="J114" s="1"/>
      <c r="K114" s="1"/>
      <c r="L114" s="1"/>
      <c r="M114" s="294"/>
      <c r="N114" s="291"/>
      <c r="O114"/>
      <c r="P114"/>
      <c r="Q114"/>
      <c r="R114"/>
      <c r="S114"/>
      <c r="Y114"/>
    </row>
    <row r="115" spans="1:25" x14ac:dyDescent="0.25">
      <c r="A115" s="545"/>
      <c r="B115" s="545"/>
      <c r="C115" s="545"/>
      <c r="D115" s="546"/>
      <c r="E115" s="545"/>
      <c r="F115" s="545"/>
      <c r="G115" s="547"/>
      <c r="H115" s="548"/>
      <c r="I115" s="545"/>
      <c r="J115" s="286"/>
      <c r="K115" s="548"/>
      <c r="L115" s="545"/>
      <c r="M115" s="545"/>
      <c r="N115" s="545"/>
      <c r="O115" s="548"/>
      <c r="P115" s="549"/>
      <c r="Q115" s="545"/>
      <c r="R115" s="545"/>
      <c r="S115" s="550"/>
      <c r="T115" s="550"/>
    </row>
    <row r="116" spans="1:25" s="7" customFormat="1" x14ac:dyDescent="0.25">
      <c r="A116" s="545"/>
      <c r="B116" s="545"/>
      <c r="C116" s="545"/>
      <c r="D116" s="286" t="s">
        <v>167</v>
      </c>
      <c r="E116" s="728"/>
      <c r="F116" s="545"/>
      <c r="G116" s="598">
        <f>G122</f>
        <v>848437925.73000014</v>
      </c>
      <c r="H116" s="596">
        <f>G116/G119</f>
        <v>0.82864387568618747</v>
      </c>
      <c r="I116" s="545"/>
      <c r="J116" s="286"/>
      <c r="K116" s="548"/>
      <c r="L116" s="545"/>
      <c r="M116" s="545"/>
      <c r="N116" s="545"/>
      <c r="O116" s="548"/>
      <c r="P116" s="549"/>
      <c r="Q116" s="545"/>
      <c r="R116" s="545"/>
      <c r="S116" s="552"/>
      <c r="T116" s="552"/>
      <c r="Y116"/>
    </row>
    <row r="117" spans="1:25" s="7" customFormat="1" x14ac:dyDescent="0.25">
      <c r="A117" s="545" t="s">
        <v>246</v>
      </c>
      <c r="B117" s="545" t="s">
        <v>247</v>
      </c>
      <c r="C117" s="545"/>
      <c r="D117" s="286" t="s">
        <v>248</v>
      </c>
      <c r="E117" s="729"/>
      <c r="F117" s="545"/>
      <c r="G117" s="598">
        <f>G137</f>
        <v>175440577.99000001</v>
      </c>
      <c r="H117" s="596">
        <f>G117/G119</f>
        <v>0.17134755070404792</v>
      </c>
      <c r="I117" s="545"/>
      <c r="J117" s="286"/>
      <c r="K117" s="548"/>
      <c r="L117" s="545"/>
      <c r="M117" s="545"/>
      <c r="N117" s="545"/>
      <c r="O117" s="548"/>
      <c r="P117" s="549"/>
      <c r="Q117" s="545"/>
      <c r="R117" s="545"/>
      <c r="S117" s="552"/>
      <c r="T117" s="552"/>
      <c r="Y117"/>
    </row>
    <row r="118" spans="1:25" s="7" customFormat="1" x14ac:dyDescent="0.25">
      <c r="A118" s="545">
        <v>2011</v>
      </c>
      <c r="B118" s="553" t="s">
        <v>249</v>
      </c>
      <c r="C118" s="545"/>
      <c r="D118" s="286"/>
      <c r="E118" s="728"/>
      <c r="F118" s="545"/>
      <c r="G118" s="598">
        <f>G145</f>
        <v>8778.41</v>
      </c>
      <c r="H118" s="596">
        <f>G118/G119</f>
        <v>8.5736097646785986E-6</v>
      </c>
      <c r="I118" s="545"/>
      <c r="J118" s="286"/>
      <c r="K118" s="548"/>
      <c r="L118" s="545"/>
      <c r="M118" s="545"/>
      <c r="N118" s="545"/>
      <c r="O118" s="548"/>
      <c r="P118" s="549"/>
      <c r="Q118" s="545"/>
      <c r="R118" s="545"/>
      <c r="S118" s="552"/>
      <c r="T118" s="552"/>
      <c r="Y118"/>
    </row>
    <row r="119" spans="1:25" s="7" customFormat="1" x14ac:dyDescent="0.25">
      <c r="A119" s="545">
        <v>2012</v>
      </c>
      <c r="B119" s="553" t="s">
        <v>250</v>
      </c>
      <c r="C119" s="545">
        <v>22.41</v>
      </c>
      <c r="D119" s="286"/>
      <c r="E119" s="729"/>
      <c r="F119" s="545"/>
      <c r="G119" s="600">
        <f>G116+G117+G118</f>
        <v>1023887282.1300001</v>
      </c>
      <c r="H119" s="596">
        <f>SUM(H116:H118)</f>
        <v>1</v>
      </c>
      <c r="I119" s="545"/>
      <c r="J119" s="286"/>
      <c r="K119" s="548"/>
      <c r="L119" s="545"/>
      <c r="M119" s="545"/>
      <c r="N119" s="545"/>
      <c r="O119" s="548"/>
      <c r="P119" s="549"/>
      <c r="Q119" s="545"/>
      <c r="R119" s="545"/>
      <c r="S119" s="552"/>
      <c r="T119" s="552"/>
      <c r="Y119"/>
    </row>
    <row r="120" spans="1:25" s="7" customFormat="1" x14ac:dyDescent="0.25">
      <c r="A120" s="545">
        <v>2013</v>
      </c>
      <c r="B120" s="545" t="s">
        <v>251</v>
      </c>
      <c r="C120" s="545"/>
      <c r="D120" s="546"/>
      <c r="E120" s="545"/>
      <c r="F120" s="545"/>
      <c r="G120" s="293"/>
      <c r="H120" s="596"/>
      <c r="I120" s="545"/>
      <c r="J120" s="286"/>
      <c r="K120" s="548"/>
      <c r="L120" s="545"/>
      <c r="M120" s="545"/>
      <c r="N120" s="545"/>
      <c r="O120" s="548"/>
      <c r="P120" s="549"/>
      <c r="Q120" s="545"/>
      <c r="R120" s="545"/>
      <c r="S120" s="552"/>
      <c r="T120" s="552"/>
      <c r="Y120"/>
    </row>
    <row r="121" spans="1:25" s="7" customFormat="1" ht="18.75" x14ac:dyDescent="0.3">
      <c r="A121" s="545">
        <v>2014</v>
      </c>
      <c r="B121" s="545" t="s">
        <v>252</v>
      </c>
      <c r="C121" s="546"/>
      <c r="D121" s="566" t="s">
        <v>345</v>
      </c>
      <c r="E121" s="566"/>
      <c r="F121" s="566"/>
      <c r="G121" s="630">
        <f>G122+G137+G145</f>
        <v>1023887282.1300001</v>
      </c>
      <c r="H121" s="596">
        <f t="shared" ref="H121:H145" si="14">G121/$G$119</f>
        <v>1</v>
      </c>
      <c r="I121" s="545"/>
      <c r="J121" s="545"/>
      <c r="K121" s="1"/>
      <c r="L121" s="1"/>
      <c r="M121" s="545"/>
      <c r="N121" s="545"/>
      <c r="O121" s="546"/>
      <c r="P121" s="556"/>
      <c r="Q121" s="546"/>
      <c r="R121" s="546"/>
      <c r="S121" s="552"/>
      <c r="T121" s="552"/>
      <c r="Y121"/>
    </row>
    <row r="122" spans="1:25" s="7" customFormat="1" x14ac:dyDescent="0.25">
      <c r="A122" s="545">
        <v>2015</v>
      </c>
      <c r="B122" s="557" t="s">
        <v>255</v>
      </c>
      <c r="C122" s="286"/>
      <c r="D122" s="558" t="s">
        <v>235</v>
      </c>
      <c r="E122" s="559"/>
      <c r="F122" s="559"/>
      <c r="G122" s="630">
        <f>SUM(G123:G136)</f>
        <v>848437925.73000014</v>
      </c>
      <c r="H122" s="597">
        <f t="shared" si="14"/>
        <v>0.82864387568618747</v>
      </c>
      <c r="I122" s="548" t="s">
        <v>253</v>
      </c>
      <c r="J122" s="631" t="s">
        <v>254</v>
      </c>
      <c r="K122" s="1"/>
      <c r="L122" s="1"/>
      <c r="M122" s="545"/>
      <c r="N122" s="545"/>
      <c r="O122" s="546"/>
      <c r="P122" s="556"/>
      <c r="Q122" s="546"/>
      <c r="R122" s="546"/>
      <c r="S122" s="546"/>
      <c r="T122" s="546"/>
      <c r="Y122"/>
    </row>
    <row r="123" spans="1:25" s="7" customFormat="1" x14ac:dyDescent="0.25">
      <c r="A123" s="545">
        <v>2016</v>
      </c>
      <c r="B123" s="557" t="s">
        <v>256</v>
      </c>
      <c r="C123" s="286"/>
      <c r="D123" s="560" t="s">
        <v>315</v>
      </c>
      <c r="E123" s="545"/>
      <c r="F123" s="545"/>
      <c r="G123" s="598">
        <f>G4</f>
        <v>158822444.33000001</v>
      </c>
      <c r="H123" s="597">
        <f t="shared" si="14"/>
        <v>0.15511711796986141</v>
      </c>
      <c r="I123" s="549">
        <v>1</v>
      </c>
      <c r="J123" s="549">
        <v>0.4</v>
      </c>
      <c r="K123" s="1"/>
      <c r="L123" s="1"/>
      <c r="M123" s="545"/>
      <c r="N123" s="545"/>
      <c r="O123" s="546"/>
      <c r="P123" s="556"/>
      <c r="Q123" s="546"/>
      <c r="R123" s="546"/>
      <c r="S123" s="546"/>
      <c r="T123" s="546"/>
      <c r="Y123"/>
    </row>
    <row r="124" spans="1:25" s="7" customFormat="1" x14ac:dyDescent="0.25">
      <c r="A124" s="546">
        <v>2017</v>
      </c>
      <c r="B124" s="557" t="s">
        <v>314</v>
      </c>
      <c r="C124" s="286"/>
      <c r="D124" s="560" t="s">
        <v>276</v>
      </c>
      <c r="E124" s="545"/>
      <c r="F124" s="545"/>
      <c r="G124" s="598">
        <f>G15</f>
        <v>411010313.71000004</v>
      </c>
      <c r="H124" s="597">
        <f t="shared" si="14"/>
        <v>0.40142144636758481</v>
      </c>
      <c r="I124" s="549">
        <v>1</v>
      </c>
      <c r="J124" s="549">
        <v>0.5</v>
      </c>
      <c r="K124" s="1"/>
      <c r="L124" s="1"/>
      <c r="M124" s="545"/>
      <c r="N124" s="545"/>
      <c r="O124" s="546"/>
      <c r="P124" s="556"/>
      <c r="Q124" s="546"/>
      <c r="R124" s="546"/>
      <c r="S124" s="546"/>
      <c r="T124" s="546"/>
      <c r="Y124"/>
    </row>
    <row r="125" spans="1:25" s="7" customFormat="1" x14ac:dyDescent="0.25">
      <c r="A125" s="546"/>
      <c r="B125" s="286"/>
      <c r="C125" s="286"/>
      <c r="D125" s="560" t="s">
        <v>277</v>
      </c>
      <c r="E125" s="545"/>
      <c r="F125" s="545"/>
      <c r="G125" s="598">
        <f>G29</f>
        <v>0</v>
      </c>
      <c r="H125" s="597">
        <f t="shared" si="14"/>
        <v>0</v>
      </c>
      <c r="I125" s="549">
        <v>1</v>
      </c>
      <c r="J125" s="549">
        <v>0</v>
      </c>
      <c r="K125" s="1"/>
      <c r="L125" s="1"/>
      <c r="M125" s="545"/>
      <c r="N125" s="545"/>
      <c r="O125" s="546"/>
      <c r="P125" s="556"/>
      <c r="Q125" s="546"/>
      <c r="R125" s="546"/>
      <c r="S125" s="546"/>
      <c r="T125" s="546"/>
      <c r="Y125"/>
    </row>
    <row r="126" spans="1:25" s="7" customFormat="1" x14ac:dyDescent="0.25">
      <c r="A126" s="546"/>
      <c r="B126" s="286"/>
      <c r="C126" s="286"/>
      <c r="D126" s="561" t="s">
        <v>278</v>
      </c>
      <c r="E126" s="548"/>
      <c r="F126" s="548"/>
      <c r="G126" s="598">
        <f>G30</f>
        <v>0</v>
      </c>
      <c r="H126" s="597">
        <f t="shared" si="14"/>
        <v>0</v>
      </c>
      <c r="I126" s="549">
        <v>0.05</v>
      </c>
      <c r="J126" s="549">
        <v>0</v>
      </c>
      <c r="K126" s="1"/>
      <c r="L126" s="1"/>
      <c r="M126" s="545"/>
      <c r="N126" s="545"/>
      <c r="O126" s="546"/>
      <c r="P126" s="556"/>
      <c r="Q126" s="546"/>
      <c r="R126" s="546"/>
      <c r="S126" s="546"/>
      <c r="T126" s="546"/>
      <c r="Y126"/>
    </row>
    <row r="127" spans="1:25" s="7" customFormat="1" x14ac:dyDescent="0.25">
      <c r="A127" s="546"/>
      <c r="B127" s="286"/>
      <c r="C127" s="286"/>
      <c r="D127" s="561" t="s">
        <v>279</v>
      </c>
      <c r="E127" s="548"/>
      <c r="F127" s="548"/>
      <c r="G127" s="598">
        <f>G31</f>
        <v>197031505.01000002</v>
      </c>
      <c r="H127" s="597">
        <f t="shared" si="14"/>
        <v>0.19243476156878711</v>
      </c>
      <c r="I127" s="549">
        <v>0.6</v>
      </c>
      <c r="J127" s="549">
        <v>0.35</v>
      </c>
      <c r="K127" s="1"/>
      <c r="L127" s="1"/>
      <c r="M127" s="545"/>
      <c r="N127" s="545"/>
      <c r="O127" s="546"/>
      <c r="P127" s="556"/>
      <c r="Q127" s="546"/>
      <c r="R127" s="546"/>
      <c r="S127" s="546"/>
      <c r="T127" s="546"/>
      <c r="Y127"/>
    </row>
    <row r="128" spans="1:25" s="7" customFormat="1" x14ac:dyDescent="0.25">
      <c r="A128" s="546"/>
      <c r="B128" s="286"/>
      <c r="C128" s="545"/>
      <c r="D128" s="560" t="s">
        <v>280</v>
      </c>
      <c r="E128" s="548"/>
      <c r="F128" s="548"/>
      <c r="G128" s="598">
        <f>G39</f>
        <v>0</v>
      </c>
      <c r="H128" s="597">
        <f t="shared" si="14"/>
        <v>0</v>
      </c>
      <c r="I128" s="549">
        <v>0.6</v>
      </c>
      <c r="J128" s="549">
        <v>0</v>
      </c>
      <c r="K128" s="1"/>
      <c r="L128" s="1"/>
      <c r="M128" s="545"/>
      <c r="N128" s="545"/>
      <c r="O128" s="546"/>
      <c r="P128" s="556"/>
      <c r="Q128" s="546"/>
      <c r="R128" s="546"/>
      <c r="S128" s="546"/>
      <c r="T128" s="546"/>
      <c r="Y128"/>
    </row>
    <row r="129" spans="1:25" s="7" customFormat="1" x14ac:dyDescent="0.25">
      <c r="A129" s="546"/>
      <c r="B129" s="286"/>
      <c r="C129" s="548"/>
      <c r="D129" s="560" t="s">
        <v>281</v>
      </c>
      <c r="E129" s="286"/>
      <c r="F129" s="286"/>
      <c r="G129" s="598">
        <f>G40</f>
        <v>74354404.089999989</v>
      </c>
      <c r="H129" s="597">
        <f t="shared" si="14"/>
        <v>7.2619716435309151E-2</v>
      </c>
      <c r="I129" s="549">
        <v>0.4</v>
      </c>
      <c r="J129" s="549">
        <v>0.3</v>
      </c>
      <c r="K129" s="1"/>
      <c r="L129" s="1"/>
      <c r="M129" s="545"/>
      <c r="N129" s="545"/>
      <c r="O129" s="546"/>
      <c r="P129" s="556"/>
      <c r="Q129" s="546"/>
      <c r="R129" s="546"/>
      <c r="S129" s="546"/>
      <c r="T129" s="546"/>
      <c r="Y129"/>
    </row>
    <row r="130" spans="1:25" s="7" customFormat="1" x14ac:dyDescent="0.25">
      <c r="A130" s="546"/>
      <c r="B130" s="286"/>
      <c r="C130" s="548"/>
      <c r="D130" s="560" t="s">
        <v>282</v>
      </c>
      <c r="E130" s="286"/>
      <c r="F130" s="286"/>
      <c r="G130" s="598">
        <f>G50</f>
        <v>0</v>
      </c>
      <c r="H130" s="597">
        <f t="shared" si="14"/>
        <v>0</v>
      </c>
      <c r="I130" s="549">
        <v>0.4</v>
      </c>
      <c r="J130" s="549">
        <v>0</v>
      </c>
      <c r="K130" s="549"/>
      <c r="L130" s="549"/>
      <c r="M130" s="545"/>
      <c r="N130" s="545"/>
      <c r="O130" s="546"/>
      <c r="P130" s="556"/>
      <c r="Q130" s="546"/>
      <c r="R130" s="546"/>
      <c r="S130" s="546"/>
      <c r="T130" s="546"/>
      <c r="Y130"/>
    </row>
    <row r="131" spans="1:25" s="7" customFormat="1" x14ac:dyDescent="0.25">
      <c r="A131" s="546"/>
      <c r="B131" s="286"/>
      <c r="C131" s="548"/>
      <c r="D131" s="560" t="s">
        <v>283</v>
      </c>
      <c r="E131" s="286"/>
      <c r="F131" s="286"/>
      <c r="G131" s="598">
        <f>G51</f>
        <v>0</v>
      </c>
      <c r="H131" s="597">
        <f t="shared" si="14"/>
        <v>0</v>
      </c>
      <c r="I131" s="549">
        <v>0.2</v>
      </c>
      <c r="J131" s="549">
        <v>0</v>
      </c>
      <c r="K131" s="549"/>
      <c r="L131" s="549"/>
      <c r="M131" s="545"/>
      <c r="N131" s="545"/>
      <c r="O131" s="546"/>
      <c r="P131" s="556"/>
      <c r="Q131" s="546"/>
      <c r="R131" s="546"/>
      <c r="S131" s="546"/>
      <c r="T131" s="546"/>
      <c r="Y131"/>
    </row>
    <row r="132" spans="1:25" s="7" customFormat="1" x14ac:dyDescent="0.25">
      <c r="A132" s="546"/>
      <c r="B132" s="286"/>
      <c r="C132" s="548"/>
      <c r="D132" s="560" t="s">
        <v>284</v>
      </c>
      <c r="E132" s="286"/>
      <c r="F132" s="286"/>
      <c r="G132" s="598">
        <f>G52</f>
        <v>0</v>
      </c>
      <c r="H132" s="597">
        <f t="shared" si="14"/>
        <v>0</v>
      </c>
      <c r="I132" s="549">
        <v>0.15</v>
      </c>
      <c r="J132" s="549">
        <v>0</v>
      </c>
      <c r="K132" s="549"/>
      <c r="L132" s="549"/>
      <c r="M132" s="545"/>
      <c r="N132" s="545"/>
      <c r="O132" s="546"/>
      <c r="P132" s="556"/>
      <c r="Q132" s="546"/>
      <c r="R132" s="546"/>
      <c r="S132" s="546"/>
      <c r="T132" s="546"/>
      <c r="Y132"/>
    </row>
    <row r="133" spans="1:25" s="7" customFormat="1" x14ac:dyDescent="0.25">
      <c r="A133" s="546"/>
      <c r="B133" s="286"/>
      <c r="C133" s="548"/>
      <c r="D133" s="560" t="s">
        <v>285</v>
      </c>
      <c r="E133" s="286"/>
      <c r="F133" s="286"/>
      <c r="G133" s="598">
        <f>G53</f>
        <v>0</v>
      </c>
      <c r="H133" s="597">
        <f t="shared" si="14"/>
        <v>0</v>
      </c>
      <c r="I133" s="549">
        <v>0.15</v>
      </c>
      <c r="J133" s="549">
        <v>0</v>
      </c>
      <c r="K133" s="549"/>
      <c r="L133" s="549"/>
      <c r="M133" s="545"/>
      <c r="N133" s="545"/>
      <c r="O133" s="546"/>
      <c r="P133" s="556"/>
      <c r="Q133" s="546"/>
      <c r="R133" s="546"/>
      <c r="S133" s="546"/>
      <c r="T133" s="546"/>
      <c r="Y133"/>
    </row>
    <row r="134" spans="1:25" s="7" customFormat="1" x14ac:dyDescent="0.25">
      <c r="A134" s="546"/>
      <c r="B134" s="286"/>
      <c r="C134" s="548"/>
      <c r="D134" s="560" t="s">
        <v>286</v>
      </c>
      <c r="E134" s="286"/>
      <c r="F134" s="286"/>
      <c r="G134" s="598">
        <f>G54</f>
        <v>7219258.5899999999</v>
      </c>
      <c r="H134" s="597">
        <f t="shared" si="14"/>
        <v>7.0508333446448555E-3</v>
      </c>
      <c r="I134" s="549">
        <v>0.05</v>
      </c>
      <c r="J134" s="549">
        <v>0.02</v>
      </c>
      <c r="K134" s="549"/>
      <c r="L134" s="549"/>
      <c r="M134" s="545"/>
      <c r="N134" s="545"/>
      <c r="O134" s="546"/>
      <c r="P134" s="556"/>
      <c r="Q134" s="546"/>
      <c r="R134" s="546"/>
      <c r="S134" s="546"/>
      <c r="T134" s="546"/>
      <c r="Y134"/>
    </row>
    <row r="135" spans="1:25" s="7" customFormat="1" x14ac:dyDescent="0.25">
      <c r="A135" s="546"/>
      <c r="B135" s="286"/>
      <c r="C135" s="548"/>
      <c r="D135" s="560" t="s">
        <v>287</v>
      </c>
      <c r="E135" s="286"/>
      <c r="F135" s="286"/>
      <c r="G135" s="598">
        <f>G58</f>
        <v>0</v>
      </c>
      <c r="H135" s="597">
        <f t="shared" si="14"/>
        <v>0</v>
      </c>
      <c r="I135" s="549">
        <v>0.05</v>
      </c>
      <c r="J135" s="549">
        <v>0.01</v>
      </c>
      <c r="K135" s="549"/>
      <c r="L135" s="549"/>
      <c r="M135" s="545"/>
      <c r="N135" s="545"/>
      <c r="O135" s="546"/>
      <c r="P135" s="556"/>
      <c r="Q135" s="546"/>
      <c r="R135" s="546"/>
      <c r="S135" s="546"/>
      <c r="T135" s="546"/>
      <c r="Y135"/>
    </row>
    <row r="136" spans="1:25" s="7" customFormat="1" x14ac:dyDescent="0.25">
      <c r="A136" s="546"/>
      <c r="B136" s="286"/>
      <c r="C136" s="548"/>
      <c r="D136" s="560" t="s">
        <v>288</v>
      </c>
      <c r="E136" s="286"/>
      <c r="F136" s="286"/>
      <c r="G136" s="598">
        <f>G59</f>
        <v>0</v>
      </c>
      <c r="H136" s="597">
        <f t="shared" si="14"/>
        <v>0</v>
      </c>
      <c r="I136" s="549">
        <v>0.05</v>
      </c>
      <c r="J136" s="549">
        <v>0</v>
      </c>
      <c r="K136" s="549"/>
      <c r="L136" s="549"/>
      <c r="M136" s="545"/>
      <c r="N136" s="545"/>
      <c r="O136" s="546"/>
      <c r="P136" s="556"/>
      <c r="Q136" s="546"/>
      <c r="R136" s="546"/>
      <c r="S136" s="546"/>
      <c r="T136" s="546"/>
      <c r="Y136"/>
    </row>
    <row r="137" spans="1:25" s="7" customFormat="1" x14ac:dyDescent="0.25">
      <c r="A137" s="546"/>
      <c r="B137" s="286"/>
      <c r="C137" s="548"/>
      <c r="D137" s="564" t="s">
        <v>275</v>
      </c>
      <c r="E137" s="565"/>
      <c r="F137" s="565"/>
      <c r="G137" s="598">
        <f>SUM(G138:G144)</f>
        <v>175440577.99000001</v>
      </c>
      <c r="H137" s="597">
        <f t="shared" si="14"/>
        <v>0.17134755070404792</v>
      </c>
      <c r="I137" s="549"/>
      <c r="J137" s="549"/>
      <c r="K137" s="549"/>
      <c r="L137" s="549"/>
      <c r="M137" s="545"/>
      <c r="N137" s="545"/>
      <c r="O137" s="546"/>
      <c r="P137" s="556"/>
      <c r="Q137" s="546"/>
      <c r="R137" s="546"/>
      <c r="S137" s="546"/>
      <c r="T137" s="546"/>
      <c r="Y137"/>
    </row>
    <row r="138" spans="1:25" s="7" customFormat="1" x14ac:dyDescent="0.25">
      <c r="A138" s="546"/>
      <c r="B138" s="286"/>
      <c r="C138" s="548"/>
      <c r="D138" s="560" t="s">
        <v>290</v>
      </c>
      <c r="E138" s="286"/>
      <c r="F138" s="286"/>
      <c r="G138" s="598">
        <f>G60</f>
        <v>56876664.740000002</v>
      </c>
      <c r="H138" s="597">
        <f t="shared" si="14"/>
        <v>5.5549732605017874E-2</v>
      </c>
      <c r="I138" s="549">
        <v>0.3</v>
      </c>
      <c r="J138" s="549">
        <v>0.15</v>
      </c>
      <c r="K138" s="549"/>
      <c r="L138" s="549"/>
      <c r="M138" s="545"/>
      <c r="N138" s="545"/>
      <c r="O138" s="546"/>
      <c r="P138" s="556"/>
      <c r="Q138" s="546"/>
      <c r="R138" s="546"/>
      <c r="S138" s="546"/>
      <c r="T138" s="546"/>
      <c r="Y138"/>
    </row>
    <row r="139" spans="1:25" s="7" customFormat="1" x14ac:dyDescent="0.25">
      <c r="A139" s="546"/>
      <c r="B139" s="286"/>
      <c r="C139" s="548"/>
      <c r="D139" s="560" t="s">
        <v>289</v>
      </c>
      <c r="E139" s="286"/>
      <c r="F139" s="286"/>
      <c r="G139" s="598">
        <f>G63</f>
        <v>0</v>
      </c>
      <c r="H139" s="597">
        <f t="shared" si="14"/>
        <v>0</v>
      </c>
      <c r="I139" s="549">
        <v>0.3</v>
      </c>
      <c r="J139" s="549">
        <v>0.02</v>
      </c>
      <c r="K139" s="549"/>
      <c r="L139" s="549"/>
      <c r="M139" s="545"/>
      <c r="N139" s="545"/>
      <c r="O139" s="546"/>
      <c r="P139" s="556"/>
      <c r="Q139" s="546"/>
      <c r="R139" s="546"/>
      <c r="S139" s="546"/>
      <c r="T139" s="546"/>
      <c r="Y139"/>
    </row>
    <row r="140" spans="1:25" s="7" customFormat="1" x14ac:dyDescent="0.25">
      <c r="A140" s="546"/>
      <c r="B140" s="286"/>
      <c r="C140" s="548"/>
      <c r="D140" s="560" t="s">
        <v>291</v>
      </c>
      <c r="E140" s="286"/>
      <c r="F140" s="286"/>
      <c r="G140" s="598">
        <f>G65</f>
        <v>82093471.780000001</v>
      </c>
      <c r="H140" s="597">
        <f t="shared" si="14"/>
        <v>8.0178231737794772E-2</v>
      </c>
      <c r="I140" s="549">
        <v>0.2</v>
      </c>
      <c r="J140" s="549">
        <v>0.15</v>
      </c>
      <c r="K140" s="549"/>
      <c r="L140" s="549"/>
      <c r="M140" s="545"/>
      <c r="N140" s="545"/>
      <c r="O140" s="546"/>
      <c r="P140" s="556"/>
      <c r="Q140" s="546"/>
      <c r="R140" s="546"/>
      <c r="S140" s="546"/>
      <c r="T140" s="546"/>
      <c r="Y140"/>
    </row>
    <row r="141" spans="1:25" s="7" customFormat="1" x14ac:dyDescent="0.25">
      <c r="A141" s="546"/>
      <c r="B141" s="286"/>
      <c r="C141" s="548"/>
      <c r="D141" s="560" t="s">
        <v>292</v>
      </c>
      <c r="E141" s="286"/>
      <c r="F141" s="286"/>
      <c r="G141" s="598">
        <f>G76</f>
        <v>0</v>
      </c>
      <c r="H141" s="597">
        <f t="shared" si="14"/>
        <v>0</v>
      </c>
      <c r="I141" s="549">
        <v>0.2</v>
      </c>
      <c r="J141" s="549">
        <v>0</v>
      </c>
      <c r="K141" s="549"/>
      <c r="L141" s="549"/>
      <c r="M141" s="545"/>
      <c r="N141" s="545"/>
      <c r="O141" s="546"/>
      <c r="P141" s="556"/>
      <c r="Q141" s="546"/>
      <c r="R141" s="546"/>
      <c r="S141" s="546"/>
      <c r="T141" s="546"/>
      <c r="Y141"/>
    </row>
    <row r="142" spans="1:25" s="7" customFormat="1" x14ac:dyDescent="0.25">
      <c r="A142" s="546"/>
      <c r="B142" s="286"/>
      <c r="C142" s="548"/>
      <c r="D142" s="560" t="s">
        <v>293</v>
      </c>
      <c r="E142" s="286"/>
      <c r="F142" s="286"/>
      <c r="G142" s="598">
        <f>G77</f>
        <v>6955897.96</v>
      </c>
      <c r="H142" s="597">
        <f t="shared" si="14"/>
        <v>6.7936169160433312E-3</v>
      </c>
      <c r="I142" s="549">
        <v>0.1</v>
      </c>
      <c r="J142" s="549">
        <v>0.03</v>
      </c>
      <c r="K142" s="549"/>
      <c r="L142" s="549"/>
      <c r="M142" s="545"/>
      <c r="N142" s="545"/>
      <c r="O142" s="546"/>
      <c r="P142" s="556"/>
      <c r="Q142" s="546"/>
      <c r="R142" s="546"/>
      <c r="S142" s="546"/>
      <c r="T142" s="546"/>
      <c r="Y142"/>
    </row>
    <row r="143" spans="1:25" s="7" customFormat="1" x14ac:dyDescent="0.25">
      <c r="A143" s="546"/>
      <c r="B143" s="286"/>
      <c r="C143" s="548"/>
      <c r="D143" s="560" t="s">
        <v>294</v>
      </c>
      <c r="E143" s="286"/>
      <c r="F143" s="286"/>
      <c r="G143" s="598">
        <f>G82</f>
        <v>15727817.98</v>
      </c>
      <c r="H143" s="597">
        <f t="shared" si="14"/>
        <v>1.5360888111903594E-2</v>
      </c>
      <c r="I143" s="549">
        <v>0.05</v>
      </c>
      <c r="J143" s="549">
        <v>0.03</v>
      </c>
      <c r="K143" s="549"/>
      <c r="L143" s="549"/>
      <c r="M143" s="545"/>
      <c r="N143" s="545"/>
      <c r="O143" s="546"/>
      <c r="P143" s="556"/>
      <c r="Q143" s="546"/>
      <c r="R143" s="546"/>
      <c r="S143" s="546"/>
      <c r="T143" s="546"/>
      <c r="Y143"/>
    </row>
    <row r="144" spans="1:25" s="7" customFormat="1" x14ac:dyDescent="0.25">
      <c r="A144" s="546"/>
      <c r="B144" s="286"/>
      <c r="C144" s="548"/>
      <c r="D144" s="560" t="s">
        <v>295</v>
      </c>
      <c r="E144" s="286"/>
      <c r="F144" s="286"/>
      <c r="G144" s="598">
        <f>G88</f>
        <v>13786725.529999999</v>
      </c>
      <c r="H144" s="597">
        <f t="shared" si="14"/>
        <v>1.3465081333288343E-2</v>
      </c>
      <c r="I144" s="549">
        <v>0.05</v>
      </c>
      <c r="J144" s="549">
        <v>0.03</v>
      </c>
      <c r="K144" s="549"/>
      <c r="L144" s="549"/>
      <c r="M144" s="545"/>
      <c r="N144" s="545"/>
      <c r="O144" s="546"/>
      <c r="P144" s="556"/>
      <c r="Q144" s="546"/>
      <c r="R144" s="546"/>
      <c r="S144" s="546"/>
      <c r="T144" s="546"/>
      <c r="Y144"/>
    </row>
    <row r="145" spans="1:25" s="7" customFormat="1" x14ac:dyDescent="0.25">
      <c r="A145" s="546"/>
      <c r="B145" s="286"/>
      <c r="C145" s="548"/>
      <c r="D145" s="564" t="s">
        <v>159</v>
      </c>
      <c r="E145" s="565"/>
      <c r="F145" s="565"/>
      <c r="G145" s="598">
        <f>G91</f>
        <v>8778.41</v>
      </c>
      <c r="H145" s="597">
        <f t="shared" si="14"/>
        <v>8.5736097646785986E-6</v>
      </c>
      <c r="I145" s="549"/>
      <c r="J145" s="549"/>
      <c r="K145" s="549"/>
      <c r="L145" s="549"/>
      <c r="M145" s="545"/>
      <c r="N145" s="545"/>
      <c r="O145" s="546"/>
      <c r="P145" s="556"/>
      <c r="Q145" s="546"/>
      <c r="R145" s="546"/>
      <c r="S145" s="546"/>
      <c r="T145" s="546"/>
      <c r="Y145"/>
    </row>
    <row r="146" spans="1:25" s="7" customFormat="1" x14ac:dyDescent="0.25">
      <c r="A146" s="546"/>
      <c r="B146" s="286"/>
      <c r="C146" s="548"/>
      <c r="D146" s="560"/>
      <c r="E146" s="286"/>
      <c r="F146" s="286"/>
      <c r="G146" s="598"/>
      <c r="H146" s="597"/>
      <c r="I146" s="545"/>
      <c r="J146" s="549"/>
      <c r="K146" s="549"/>
      <c r="L146" s="549"/>
      <c r="M146" s="545"/>
      <c r="N146" s="545"/>
      <c r="O146" s="546"/>
      <c r="P146" s="556"/>
      <c r="Q146" s="546"/>
      <c r="R146" s="546"/>
      <c r="S146" s="546"/>
      <c r="T146" s="546"/>
      <c r="Y146"/>
    </row>
    <row r="147" spans="1:25" s="7" customFormat="1" x14ac:dyDescent="0.25">
      <c r="A147" s="546"/>
      <c r="B147" s="546"/>
      <c r="C147" s="546"/>
      <c r="D147" s="546"/>
      <c r="E147" s="546"/>
      <c r="F147" s="546"/>
      <c r="G147" s="598"/>
      <c r="H147" s="597"/>
      <c r="I147" s="545"/>
      <c r="J147" s="545"/>
      <c r="K147" s="545"/>
      <c r="L147" s="545"/>
      <c r="M147" s="545"/>
      <c r="N147" s="545"/>
      <c r="O147" s="546"/>
      <c r="P147" s="556"/>
      <c r="Q147" s="546"/>
      <c r="R147" s="546"/>
      <c r="S147" s="546"/>
      <c r="T147" s="546"/>
      <c r="Y147"/>
    </row>
    <row r="148" spans="1:25" s="7" customFormat="1" x14ac:dyDescent="0.25">
      <c r="A148" s="546"/>
      <c r="B148" s="546"/>
      <c r="C148" s="546"/>
      <c r="D148" s="546"/>
      <c r="E148" s="546"/>
      <c r="F148" s="546"/>
      <c r="G148" s="598"/>
      <c r="H148" s="597"/>
      <c r="I148" s="545"/>
      <c r="J148" s="545"/>
      <c r="K148" s="545"/>
      <c r="L148" s="545"/>
      <c r="M148" s="545"/>
      <c r="N148" s="545"/>
      <c r="O148" s="546"/>
      <c r="P148" s="556"/>
      <c r="Q148" s="546"/>
      <c r="R148" s="546"/>
      <c r="S148" s="546"/>
      <c r="T148" s="546"/>
      <c r="Y148"/>
    </row>
    <row r="149" spans="1:25" s="7" customFormat="1" x14ac:dyDescent="0.25">
      <c r="A149" s="546"/>
      <c r="B149" s="546"/>
      <c r="C149" s="546"/>
      <c r="D149" s="546" t="s">
        <v>20</v>
      </c>
      <c r="E149" s="546"/>
      <c r="F149" s="546"/>
      <c r="G149" s="606">
        <f>G5+G6+G7+G8+G9+G10+G11+G12+G13+G14</f>
        <v>158822444.33000001</v>
      </c>
      <c r="H149" s="597">
        <f t="shared" ref="H149:H170" si="15">G149/$G$95</f>
        <v>0.15511711796986141</v>
      </c>
      <c r="I149" s="545"/>
      <c r="J149" s="545"/>
      <c r="K149" s="545"/>
      <c r="L149" s="545"/>
      <c r="M149" s="545"/>
      <c r="N149" s="545"/>
      <c r="O149" s="546"/>
      <c r="P149" s="556"/>
      <c r="Q149" s="546"/>
      <c r="R149" s="546"/>
      <c r="S149" s="546"/>
      <c r="T149" s="546"/>
      <c r="Y149"/>
    </row>
    <row r="150" spans="1:25" s="7" customFormat="1" x14ac:dyDescent="0.25">
      <c r="A150" s="546"/>
      <c r="B150" s="546"/>
      <c r="C150" s="546"/>
      <c r="D150" s="546" t="s">
        <v>257</v>
      </c>
      <c r="E150" s="546"/>
      <c r="F150" s="546"/>
      <c r="G150" s="607">
        <f>G24+G25+G26+G27+G35+G64+G74</f>
        <v>245244170.69</v>
      </c>
      <c r="H150" s="597">
        <f t="shared" si="15"/>
        <v>0.2395226261428082</v>
      </c>
      <c r="I150" s="545"/>
      <c r="J150" s="545"/>
      <c r="K150" s="545"/>
      <c r="L150" s="545"/>
      <c r="M150" s="545"/>
      <c r="N150" s="545"/>
      <c r="O150" s="546"/>
      <c r="P150" s="556"/>
      <c r="Q150" s="546"/>
      <c r="R150" s="546"/>
      <c r="S150" s="546"/>
      <c r="T150" s="546"/>
      <c r="Y150"/>
    </row>
    <row r="151" spans="1:25" s="7" customFormat="1" x14ac:dyDescent="0.25">
      <c r="A151" s="546"/>
      <c r="B151" s="546"/>
      <c r="C151" s="546"/>
      <c r="D151" s="546" t="s">
        <v>258</v>
      </c>
      <c r="E151" s="546"/>
      <c r="F151" s="546"/>
      <c r="G151" s="607">
        <f>G20+G21+G32+G33+G34</f>
        <v>140519377.24000001</v>
      </c>
      <c r="H151" s="597">
        <f t="shared" si="15"/>
        <v>0.13724106128916508</v>
      </c>
      <c r="I151" s="545"/>
      <c r="J151" s="545"/>
      <c r="K151" s="545"/>
      <c r="L151" s="545"/>
      <c r="M151" s="545"/>
      <c r="N151" s="545"/>
      <c r="O151" s="546"/>
      <c r="P151" s="556"/>
      <c r="Q151" s="546"/>
      <c r="R151" s="546"/>
      <c r="S151" s="546"/>
      <c r="T151" s="546"/>
      <c r="Y151"/>
    </row>
    <row r="152" spans="1:25" s="7" customFormat="1" x14ac:dyDescent="0.25">
      <c r="A152" s="546"/>
      <c r="B152" s="546"/>
      <c r="C152" s="546"/>
      <c r="D152" s="546" t="s">
        <v>259</v>
      </c>
      <c r="E152" s="546"/>
      <c r="F152" s="546"/>
      <c r="G152" s="607">
        <f>G22+G45+G46+G47+G48+G61+G66+G80+G81+G67+G68</f>
        <v>102608407.72</v>
      </c>
      <c r="H152" s="597">
        <f>G152/$G$95</f>
        <v>0.10021455438585289</v>
      </c>
      <c r="I152" s="545"/>
      <c r="J152" s="545"/>
      <c r="K152" s="545"/>
      <c r="L152" s="545"/>
      <c r="M152" s="545"/>
      <c r="N152" s="545"/>
      <c r="O152" s="546"/>
      <c r="P152" s="556"/>
      <c r="Q152" s="546"/>
      <c r="R152" s="546"/>
      <c r="S152" s="546"/>
      <c r="T152" s="546"/>
      <c r="Y152"/>
    </row>
    <row r="153" spans="1:25" s="7" customFormat="1" x14ac:dyDescent="0.25">
      <c r="A153" s="546"/>
      <c r="B153" s="546"/>
      <c r="C153" s="546"/>
      <c r="D153" s="546" t="s">
        <v>62</v>
      </c>
      <c r="E153" s="546"/>
      <c r="F153" s="546"/>
      <c r="G153" s="607">
        <f>G37+G36+G38+G49</f>
        <v>96855992.200000003</v>
      </c>
      <c r="H153" s="597">
        <f t="shared" si="15"/>
        <v>9.4596342674078127E-2</v>
      </c>
      <c r="I153" s="545"/>
      <c r="J153" s="545"/>
      <c r="K153" s="545"/>
      <c r="L153" s="545"/>
      <c r="M153" s="545"/>
      <c r="N153" s="545"/>
      <c r="O153" s="546"/>
      <c r="P153" s="556"/>
      <c r="Q153" s="546"/>
      <c r="R153" s="546"/>
      <c r="S153" s="546"/>
      <c r="T153" s="546"/>
      <c r="Y153"/>
    </row>
    <row r="154" spans="1:25" s="7" customFormat="1" x14ac:dyDescent="0.25">
      <c r="A154" s="546"/>
      <c r="B154" s="546"/>
      <c r="C154" s="546"/>
      <c r="D154" s="546" t="s">
        <v>35</v>
      </c>
      <c r="E154" s="546"/>
      <c r="F154" s="546"/>
      <c r="G154" s="607">
        <f>G16+G18+G41+G42+G43+G17+G19</f>
        <v>122722169.59999999</v>
      </c>
      <c r="H154" s="597">
        <f t="shared" si="15"/>
        <v>0.11985906236153278</v>
      </c>
      <c r="I154" s="545"/>
      <c r="J154" s="545"/>
      <c r="K154" s="545"/>
      <c r="L154" s="545"/>
      <c r="M154" s="545"/>
      <c r="N154" s="545"/>
      <c r="O154" s="546"/>
      <c r="P154" s="556"/>
      <c r="Q154" s="546"/>
      <c r="R154" s="546"/>
      <c r="S154" s="546"/>
      <c r="T154" s="546"/>
      <c r="Y154"/>
    </row>
    <row r="155" spans="1:25" s="7" customFormat="1" x14ac:dyDescent="0.25">
      <c r="A155" s="546"/>
      <c r="B155" s="546"/>
      <c r="C155" s="546"/>
      <c r="D155" s="546" t="s">
        <v>260</v>
      </c>
      <c r="E155" s="546"/>
      <c r="F155" s="546"/>
      <c r="G155" s="607">
        <f>G44+G70+G71+G72+G73</f>
        <v>48793663.109999999</v>
      </c>
      <c r="H155" s="597">
        <f t="shared" si="15"/>
        <v>4.7655307338610738E-2</v>
      </c>
      <c r="I155" s="545"/>
      <c r="J155" s="545"/>
      <c r="K155" s="545"/>
      <c r="L155" s="545"/>
      <c r="M155" s="545"/>
      <c r="N155" s="545"/>
      <c r="O155" s="546"/>
      <c r="P155" s="556"/>
      <c r="Q155" s="546"/>
      <c r="R155" s="546"/>
      <c r="S155" s="546"/>
      <c r="T155" s="546"/>
      <c r="Y155"/>
    </row>
    <row r="156" spans="1:25" s="7" customFormat="1" x14ac:dyDescent="0.25">
      <c r="A156" s="546"/>
      <c r="B156" s="546"/>
      <c r="C156" s="546"/>
      <c r="D156" s="546" t="s">
        <v>265</v>
      </c>
      <c r="E156" s="546"/>
      <c r="F156" s="546"/>
      <c r="G156" s="606">
        <f>G78+G79+G62+G28</f>
        <v>34188671.700000003</v>
      </c>
      <c r="H156" s="597">
        <f>G156/$G$95</f>
        <v>3.3391050261779853E-2</v>
      </c>
      <c r="I156" s="545"/>
      <c r="J156" s="545"/>
      <c r="K156" s="545"/>
      <c r="L156" s="545"/>
      <c r="M156" s="545"/>
      <c r="N156" s="545"/>
      <c r="O156" s="546"/>
      <c r="P156" s="556"/>
      <c r="Q156" s="546"/>
      <c r="R156" s="546"/>
      <c r="S156" s="546"/>
      <c r="T156" s="546"/>
      <c r="Y156"/>
    </row>
    <row r="157" spans="1:25" s="7" customFormat="1" x14ac:dyDescent="0.25">
      <c r="A157" s="546"/>
      <c r="B157" s="546"/>
      <c r="C157" s="546"/>
      <c r="D157" s="546" t="s">
        <v>261</v>
      </c>
      <c r="E157" s="546"/>
      <c r="F157" s="546"/>
      <c r="G157" s="606">
        <f>G69</f>
        <v>21168568.059999999</v>
      </c>
      <c r="H157" s="597">
        <f t="shared" si="15"/>
        <v>2.0674705535909065E-2</v>
      </c>
      <c r="I157" s="545"/>
      <c r="J157" s="545"/>
      <c r="K157" s="545"/>
      <c r="L157" s="545"/>
      <c r="M157" s="545"/>
      <c r="N157" s="545"/>
      <c r="O157" s="546"/>
      <c r="P157" s="556"/>
      <c r="Q157" s="546"/>
      <c r="R157" s="546"/>
      <c r="S157" s="546"/>
      <c r="T157" s="546"/>
      <c r="Y157"/>
    </row>
    <row r="158" spans="1:25" s="7" customFormat="1" x14ac:dyDescent="0.25">
      <c r="A158" s="546"/>
      <c r="B158" s="546"/>
      <c r="C158" s="546"/>
      <c r="D158" s="546" t="s">
        <v>46</v>
      </c>
      <c r="E158" s="546"/>
      <c r="F158" s="546"/>
      <c r="G158" s="606">
        <f>G23</f>
        <v>12202951.310000001</v>
      </c>
      <c r="H158" s="597">
        <f t="shared" si="15"/>
        <v>1.1918256553215616E-2</v>
      </c>
      <c r="I158" s="545"/>
      <c r="J158" s="545"/>
      <c r="K158" s="545"/>
      <c r="L158" s="545"/>
      <c r="M158" s="545"/>
      <c r="N158" s="545"/>
      <c r="O158" s="546"/>
      <c r="P158" s="556"/>
      <c r="Q158" s="546"/>
      <c r="R158" s="546"/>
      <c r="S158" s="546"/>
      <c r="T158" s="546"/>
      <c r="Y158"/>
    </row>
    <row r="159" spans="1:25" s="7" customFormat="1" x14ac:dyDescent="0.25">
      <c r="A159" s="546"/>
      <c r="B159" s="546"/>
      <c r="C159" s="546"/>
      <c r="D159" s="546" t="s">
        <v>262</v>
      </c>
      <c r="E159" s="546"/>
      <c r="F159" s="546"/>
      <c r="G159" s="606">
        <f>G90</f>
        <v>8786825.5299999993</v>
      </c>
      <c r="H159" s="597">
        <f t="shared" si="15"/>
        <v>8.5818289604307832E-3</v>
      </c>
      <c r="I159" s="545"/>
      <c r="J159" s="545"/>
      <c r="K159" s="545"/>
      <c r="L159" s="545"/>
      <c r="M159" s="545"/>
      <c r="N159" s="545"/>
      <c r="O159" s="546"/>
      <c r="P159" s="556"/>
      <c r="Q159" s="546"/>
      <c r="R159" s="546"/>
      <c r="S159" s="546"/>
      <c r="T159" s="546"/>
      <c r="Y159"/>
    </row>
    <row r="160" spans="1:25" s="7" customFormat="1" x14ac:dyDescent="0.25">
      <c r="A160" s="546"/>
      <c r="B160" s="546"/>
      <c r="C160" s="546"/>
      <c r="D160" s="546" t="s">
        <v>263</v>
      </c>
      <c r="E160" s="546"/>
      <c r="F160" s="546"/>
      <c r="G160" s="606">
        <f>G83+G84+G85</f>
        <v>14436170.76</v>
      </c>
      <c r="H160" s="597">
        <f t="shared" si="15"/>
        <v>1.4099375011249606E-2</v>
      </c>
      <c r="I160" s="545"/>
      <c r="J160" s="545"/>
      <c r="K160" s="545"/>
      <c r="L160" s="545"/>
      <c r="M160" s="545"/>
      <c r="N160" s="545"/>
      <c r="O160" s="546"/>
      <c r="P160" s="556"/>
      <c r="Q160" s="546"/>
      <c r="R160" s="546"/>
      <c r="S160" s="546"/>
      <c r="T160" s="546"/>
      <c r="Y160"/>
    </row>
    <row r="161" spans="1:25" s="7" customFormat="1" x14ac:dyDescent="0.25">
      <c r="A161" s="546"/>
      <c r="B161" s="546"/>
      <c r="C161" s="546"/>
      <c r="D161" s="546" t="s">
        <v>57</v>
      </c>
      <c r="E161" s="546"/>
      <c r="F161" s="546"/>
      <c r="G161" s="607"/>
      <c r="H161" s="597">
        <f>G161/$G$95</f>
        <v>0</v>
      </c>
      <c r="I161" s="545"/>
      <c r="J161" s="545"/>
      <c r="K161" s="545"/>
      <c r="L161" s="545"/>
      <c r="M161" s="545"/>
      <c r="N161" s="545"/>
      <c r="O161" s="546"/>
      <c r="P161" s="556"/>
      <c r="Q161" s="546"/>
      <c r="R161" s="546"/>
      <c r="S161" s="546"/>
      <c r="T161" s="546"/>
      <c r="Y161"/>
    </row>
    <row r="162" spans="1:25" s="7" customFormat="1" x14ac:dyDescent="0.25">
      <c r="A162" s="546"/>
      <c r="B162" s="546"/>
      <c r="C162" s="546"/>
      <c r="D162" s="546" t="s">
        <v>82</v>
      </c>
      <c r="E162" s="546"/>
      <c r="F162" s="546"/>
      <c r="G162" s="606">
        <f>G55</f>
        <v>7139802.04</v>
      </c>
      <c r="H162" s="597">
        <f t="shared" si="15"/>
        <v>6.9732305153229548E-3</v>
      </c>
      <c r="I162" s="545"/>
      <c r="J162" s="545"/>
      <c r="K162" s="545"/>
      <c r="L162" s="545"/>
      <c r="M162" s="545"/>
      <c r="N162" s="545"/>
      <c r="O162" s="546"/>
      <c r="P162" s="556"/>
      <c r="Q162" s="546"/>
      <c r="R162" s="546"/>
      <c r="S162" s="546"/>
      <c r="T162" s="546"/>
      <c r="Y162"/>
    </row>
    <row r="163" spans="1:25" s="7" customFormat="1" x14ac:dyDescent="0.25">
      <c r="A163" s="546"/>
      <c r="B163" s="546"/>
      <c r="C163" s="546"/>
      <c r="D163" s="546" t="s">
        <v>264</v>
      </c>
      <c r="E163" s="546"/>
      <c r="F163" s="546"/>
      <c r="G163" s="606">
        <f>G89</f>
        <v>4999900</v>
      </c>
      <c r="H163" s="597">
        <f t="shared" si="15"/>
        <v>4.8832523728575593E-3</v>
      </c>
      <c r="I163" s="545"/>
      <c r="J163" s="545"/>
      <c r="K163" s="545"/>
      <c r="L163" s="545"/>
      <c r="M163" s="545"/>
      <c r="N163" s="545"/>
      <c r="O163" s="546"/>
      <c r="P163" s="556"/>
      <c r="Q163" s="546"/>
      <c r="R163" s="546"/>
      <c r="S163" s="546"/>
      <c r="T163" s="546"/>
      <c r="Y163"/>
    </row>
    <row r="164" spans="1:25" s="7" customFormat="1" x14ac:dyDescent="0.25">
      <c r="A164" s="546"/>
      <c r="B164" s="546"/>
      <c r="C164" s="546"/>
      <c r="D164" s="546" t="s">
        <v>266</v>
      </c>
      <c r="E164" s="546"/>
      <c r="F164" s="546"/>
      <c r="G164" s="606">
        <f>G75</f>
        <v>4018285.66</v>
      </c>
      <c r="H164" s="597">
        <f t="shared" si="15"/>
        <v>3.9245390875846525E-3</v>
      </c>
      <c r="I164" s="545"/>
      <c r="J164" s="545"/>
      <c r="K164" s="545"/>
      <c r="L164" s="545"/>
      <c r="M164" s="545"/>
      <c r="N164" s="545"/>
      <c r="O164" s="546"/>
      <c r="P164" s="556"/>
      <c r="Q164" s="546"/>
      <c r="R164" s="546"/>
      <c r="S164" s="546"/>
      <c r="T164" s="546"/>
      <c r="Y164"/>
    </row>
    <row r="165" spans="1:25" s="7" customFormat="1" x14ac:dyDescent="0.25">
      <c r="A165" s="546"/>
      <c r="B165" s="546"/>
      <c r="C165" s="546"/>
      <c r="D165" s="546" t="s">
        <v>267</v>
      </c>
      <c r="E165" s="546"/>
      <c r="F165" s="546"/>
      <c r="G165" s="607">
        <f>G87</f>
        <v>888344.92</v>
      </c>
      <c r="H165" s="597">
        <f t="shared" si="15"/>
        <v>8.676198400979937E-4</v>
      </c>
      <c r="I165" s="545"/>
      <c r="J165" s="545"/>
      <c r="K165" s="545"/>
      <c r="L165" s="545"/>
      <c r="M165" s="545"/>
      <c r="N165" s="545"/>
      <c r="O165" s="546"/>
      <c r="P165" s="556"/>
      <c r="Q165" s="546"/>
      <c r="R165" s="546"/>
      <c r="S165" s="546"/>
      <c r="T165" s="546"/>
      <c r="Y165"/>
    </row>
    <row r="166" spans="1:25" s="7" customFormat="1" x14ac:dyDescent="0.25">
      <c r="A166" s="546"/>
      <c r="B166" s="546"/>
      <c r="C166" s="546"/>
      <c r="D166" s="546" t="s">
        <v>268</v>
      </c>
      <c r="E166" s="546"/>
      <c r="F166" s="546"/>
      <c r="G166" s="607">
        <f>G86</f>
        <v>403302.3</v>
      </c>
      <c r="H166" s="597">
        <f t="shared" si="15"/>
        <v>3.9389326055599332E-4</v>
      </c>
      <c r="I166" s="545"/>
      <c r="J166" s="545"/>
      <c r="K166" s="545"/>
      <c r="L166" s="545"/>
      <c r="M166" s="545"/>
      <c r="N166" s="545"/>
      <c r="O166" s="546"/>
      <c r="P166" s="556"/>
      <c r="Q166" s="546"/>
      <c r="R166" s="546"/>
      <c r="S166" s="546"/>
      <c r="T166" s="546"/>
      <c r="Y166"/>
    </row>
    <row r="167" spans="1:25" s="7" customFormat="1" x14ac:dyDescent="0.25">
      <c r="A167" s="546"/>
      <c r="B167" s="546"/>
      <c r="C167" s="546"/>
      <c r="D167" s="546" t="s">
        <v>269</v>
      </c>
      <c r="E167" s="546"/>
      <c r="F167" s="546"/>
      <c r="G167" s="607">
        <f>G57</f>
        <v>41885.949999999997</v>
      </c>
      <c r="H167" s="597">
        <f t="shared" si="15"/>
        <v>4.090875112040102E-5</v>
      </c>
      <c r="I167" s="545"/>
      <c r="J167" s="545"/>
      <c r="K167" s="545"/>
      <c r="L167" s="545"/>
      <c r="M167" s="545"/>
      <c r="N167" s="545"/>
      <c r="O167" s="546"/>
      <c r="P167" s="556"/>
      <c r="Q167" s="546"/>
      <c r="R167" s="546"/>
      <c r="S167" s="546"/>
      <c r="T167" s="546"/>
      <c r="Y167"/>
    </row>
    <row r="168" spans="1:25" s="7" customFormat="1" x14ac:dyDescent="0.25">
      <c r="A168" s="546"/>
      <c r="B168" s="546"/>
      <c r="C168" s="546"/>
      <c r="D168" s="546" t="s">
        <v>86</v>
      </c>
      <c r="E168" s="546"/>
      <c r="F168" s="546"/>
      <c r="G168" s="607">
        <f>G56</f>
        <v>37570.6</v>
      </c>
      <c r="H168" s="597">
        <f t="shared" si="15"/>
        <v>3.6694078201500469E-5</v>
      </c>
      <c r="I168" s="545"/>
      <c r="J168" s="545"/>
      <c r="K168" s="545"/>
      <c r="L168" s="545"/>
      <c r="M168" s="545"/>
      <c r="N168" s="545"/>
      <c r="O168" s="546"/>
      <c r="P168" s="556"/>
      <c r="Q168" s="546"/>
      <c r="R168" s="546"/>
      <c r="S168" s="546"/>
      <c r="T168" s="546"/>
      <c r="Y168"/>
    </row>
    <row r="169" spans="1:25" s="7" customFormat="1" x14ac:dyDescent="0.25">
      <c r="A169" s="546"/>
      <c r="B169" s="546"/>
      <c r="C169" s="546"/>
      <c r="D169" s="546"/>
      <c r="E169" s="546"/>
      <c r="F169" s="546"/>
      <c r="G169" s="595"/>
      <c r="H169" s="597">
        <f t="shared" si="15"/>
        <v>0</v>
      </c>
      <c r="I169" s="545"/>
      <c r="J169" s="545"/>
      <c r="K169" s="545"/>
      <c r="L169" s="545"/>
      <c r="M169" s="545"/>
      <c r="N169" s="545"/>
      <c r="O169" s="546"/>
      <c r="P169" s="556"/>
      <c r="Q169" s="546"/>
      <c r="R169" s="546"/>
      <c r="S169" s="546"/>
      <c r="T169" s="546"/>
      <c r="Y169"/>
    </row>
    <row r="170" spans="1:25" s="7" customFormat="1" x14ac:dyDescent="0.25">
      <c r="A170" s="546"/>
      <c r="B170" s="546"/>
      <c r="C170" s="546"/>
      <c r="D170" s="546" t="s">
        <v>270</v>
      </c>
      <c r="E170" s="546"/>
      <c r="F170" s="546"/>
      <c r="G170" s="606">
        <f>G91</f>
        <v>8778.41</v>
      </c>
      <c r="H170" s="597">
        <f t="shared" si="15"/>
        <v>8.5736097646785986E-6</v>
      </c>
      <c r="I170" s="545"/>
      <c r="J170" s="545"/>
      <c r="K170" s="545"/>
      <c r="L170" s="545"/>
      <c r="M170" s="545"/>
      <c r="N170" s="545"/>
      <c r="O170" s="546"/>
      <c r="P170" s="556"/>
      <c r="Q170" s="546"/>
      <c r="R170" s="546"/>
      <c r="S170" s="546"/>
      <c r="T170" s="546"/>
      <c r="Y170"/>
    </row>
    <row r="171" spans="1:25" s="7" customFormat="1" ht="15.75" thickBot="1" x14ac:dyDescent="0.3">
      <c r="A171" s="546"/>
      <c r="B171" s="546"/>
      <c r="C171" s="546"/>
      <c r="D171" s="546"/>
      <c r="E171" s="546"/>
      <c r="F171" s="546"/>
      <c r="G171" s="595"/>
      <c r="H171" s="597"/>
      <c r="I171" s="545"/>
      <c r="J171" s="545"/>
      <c r="K171" s="545"/>
      <c r="L171" s="545"/>
      <c r="M171" s="545"/>
      <c r="N171" s="545"/>
      <c r="O171" s="546"/>
      <c r="P171" s="556"/>
      <c r="Q171" s="546"/>
      <c r="R171" s="546"/>
      <c r="S171" s="546"/>
      <c r="T171" s="546"/>
      <c r="Y171"/>
    </row>
    <row r="172" spans="1:25" s="7" customFormat="1" ht="15.75" thickBot="1" x14ac:dyDescent="0.3">
      <c r="A172" s="546"/>
      <c r="B172" s="546"/>
      <c r="C172" s="546"/>
      <c r="D172" s="546"/>
      <c r="E172" s="562"/>
      <c r="F172" s="546"/>
      <c r="G172" s="608">
        <f>SUM(G149:G171)</f>
        <v>1023887282.1299999</v>
      </c>
      <c r="H172" s="597">
        <f>SUM(H149:H171)</f>
        <v>1</v>
      </c>
      <c r="I172" s="545"/>
      <c r="J172" s="545"/>
      <c r="K172" s="545"/>
      <c r="L172" s="545"/>
      <c r="M172" s="545"/>
      <c r="N172" s="545"/>
      <c r="O172" s="546"/>
      <c r="P172" s="556"/>
      <c r="Q172" s="546"/>
      <c r="R172" s="546"/>
      <c r="S172" s="546"/>
      <c r="T172" s="546"/>
      <c r="Y172"/>
    </row>
    <row r="173" spans="1:25" s="7" customFormat="1" x14ac:dyDescent="0.25">
      <c r="A173" s="546"/>
      <c r="B173" s="546"/>
      <c r="C173" s="546"/>
      <c r="D173" s="546"/>
      <c r="E173" s="546"/>
      <c r="F173" s="546"/>
      <c r="G173" s="598"/>
      <c r="H173" s="597"/>
      <c r="I173" s="545"/>
      <c r="J173" s="545"/>
      <c r="K173" s="545"/>
      <c r="L173" s="545"/>
      <c r="M173" s="632"/>
      <c r="N173" s="545"/>
      <c r="O173" s="546"/>
      <c r="P173" s="556"/>
      <c r="Q173" s="546"/>
      <c r="R173" s="546"/>
      <c r="S173" s="546"/>
      <c r="T173" s="546"/>
      <c r="Y173"/>
    </row>
    <row r="174" spans="1:25" s="7" customFormat="1" x14ac:dyDescent="0.25">
      <c r="A174" s="546"/>
      <c r="B174" s="546"/>
      <c r="C174" s="546"/>
      <c r="D174" s="546" t="s">
        <v>271</v>
      </c>
      <c r="E174" s="556">
        <f>G174/G108</f>
        <v>0.18719394726885694</v>
      </c>
      <c r="F174" s="546"/>
      <c r="G174" s="554">
        <f>G5+G6+G7+G8+G9+G10+G11+G12+G13+G14</f>
        <v>158822444.33000001</v>
      </c>
      <c r="H174" s="549">
        <f>G174/G182</f>
        <v>0.18719394726885696</v>
      </c>
      <c r="I174" s="545"/>
      <c r="J174" s="545"/>
      <c r="K174" s="545"/>
      <c r="L174" s="545"/>
      <c r="M174" s="545"/>
      <c r="N174" s="545"/>
      <c r="O174" s="546"/>
      <c r="P174" s="556"/>
      <c r="Q174" s="546"/>
      <c r="R174" s="546"/>
      <c r="S174" s="546"/>
      <c r="T174" s="546"/>
      <c r="Y174"/>
    </row>
    <row r="175" spans="1:25" s="7" customFormat="1" x14ac:dyDescent="0.25">
      <c r="A175" s="546"/>
      <c r="B175" s="546"/>
      <c r="C175" s="546"/>
      <c r="D175" s="546" t="s">
        <v>141</v>
      </c>
      <c r="E175" s="556">
        <f>G175/G108</f>
        <v>0.15416475601024049</v>
      </c>
      <c r="F175" s="546"/>
      <c r="G175" s="554">
        <f>G23+G34+G35+G38</f>
        <v>130799225.81</v>
      </c>
      <c r="H175" s="549">
        <f>G175/G182</f>
        <v>0.15416475601024049</v>
      </c>
      <c r="I175" s="545"/>
      <c r="J175" s="545"/>
      <c r="K175" s="545"/>
      <c r="L175" s="545"/>
      <c r="M175" s="545"/>
      <c r="N175" s="545"/>
      <c r="O175" s="546"/>
      <c r="P175" s="556"/>
      <c r="Q175" s="546"/>
      <c r="R175" s="546"/>
      <c r="S175" s="546"/>
      <c r="T175" s="546"/>
      <c r="Y175"/>
    </row>
    <row r="176" spans="1:25" s="7" customFormat="1" x14ac:dyDescent="0.25">
      <c r="A176" s="546"/>
      <c r="B176" s="546"/>
      <c r="C176" s="546"/>
      <c r="D176" s="546" t="s">
        <v>272</v>
      </c>
      <c r="E176" s="556">
        <f>G176/G108</f>
        <v>0.32143535058896872</v>
      </c>
      <c r="F176" s="546"/>
      <c r="G176" s="554">
        <f>G16+G18+G28+G32+G33+G22+G24+G27+G37+G36</f>
        <v>272717942.11000001</v>
      </c>
      <c r="H176" s="549">
        <f>G176/G182</f>
        <v>0.32143535058896877</v>
      </c>
      <c r="I176" s="545"/>
      <c r="J176" s="545"/>
      <c r="K176" s="545"/>
      <c r="L176" s="545"/>
      <c r="M176" s="545"/>
      <c r="N176" s="545"/>
      <c r="O176" s="546"/>
      <c r="P176" s="556"/>
      <c r="Q176" s="546"/>
      <c r="R176" s="546"/>
      <c r="S176" s="546"/>
      <c r="T176" s="546"/>
      <c r="Y176"/>
    </row>
    <row r="177" spans="1:25" s="7" customFormat="1" x14ac:dyDescent="0.25">
      <c r="A177" s="546"/>
      <c r="B177" s="546"/>
      <c r="C177" s="546"/>
      <c r="D177" s="546" t="s">
        <v>273</v>
      </c>
      <c r="E177" s="556">
        <f>G177/G108</f>
        <v>4.1913072119452284E-2</v>
      </c>
      <c r="F177" s="546"/>
      <c r="G177" s="554">
        <f>G45+G46</f>
        <v>35560639.969999999</v>
      </c>
      <c r="H177" s="549">
        <f>G177/G182</f>
        <v>4.1913072119452291E-2</v>
      </c>
      <c r="I177" s="545"/>
      <c r="J177" s="545"/>
      <c r="K177" s="545"/>
      <c r="L177" s="545"/>
      <c r="M177" s="545"/>
      <c r="N177" s="545"/>
      <c r="O177" s="546"/>
      <c r="P177" s="556"/>
      <c r="Q177" s="546"/>
      <c r="R177" s="546"/>
      <c r="S177" s="546"/>
      <c r="T177" s="546"/>
      <c r="Y177"/>
    </row>
    <row r="178" spans="1:25" s="7" customFormat="1" x14ac:dyDescent="0.25">
      <c r="A178" s="546"/>
      <c r="B178" s="546"/>
      <c r="C178" s="546"/>
      <c r="D178" s="546" t="s">
        <v>138</v>
      </c>
      <c r="E178" s="556">
        <f>G178/G108</f>
        <v>0.24106024094105177</v>
      </c>
      <c r="F178" s="546"/>
      <c r="G178" s="554">
        <f>G17+G19+G20+G21+G25+G26</f>
        <v>204524650.80000001</v>
      </c>
      <c r="H178" s="549">
        <f>G178/G182</f>
        <v>0.2410602409410518</v>
      </c>
      <c r="I178" s="545"/>
      <c r="J178" s="545"/>
      <c r="K178" s="545"/>
      <c r="L178" s="545"/>
      <c r="M178" s="545"/>
      <c r="N178" s="545"/>
      <c r="O178" s="546"/>
      <c r="P178" s="556"/>
      <c r="Q178" s="546"/>
      <c r="R178" s="546"/>
      <c r="S178" s="546"/>
      <c r="T178" s="546"/>
      <c r="Y178"/>
    </row>
    <row r="179" spans="1:25" s="7" customFormat="1" x14ac:dyDescent="0.25">
      <c r="A179" s="546"/>
      <c r="B179" s="546"/>
      <c r="C179" s="546"/>
      <c r="D179" s="546" t="s">
        <v>274</v>
      </c>
      <c r="E179" s="556">
        <f>G179/G108</f>
        <v>4.5723750605115465E-2</v>
      </c>
      <c r="F179" s="546"/>
      <c r="G179" s="554">
        <f>G41+G42+G43+G44+G47+G48+G49</f>
        <v>38793764.120000005</v>
      </c>
      <c r="H179" s="549">
        <f>G179/G182</f>
        <v>4.5723750605115472E-2</v>
      </c>
      <c r="I179" s="545"/>
      <c r="J179" s="545"/>
      <c r="K179" s="545"/>
      <c r="L179" s="545"/>
      <c r="M179" s="545"/>
      <c r="N179" s="545"/>
      <c r="O179" s="546"/>
      <c r="P179" s="556"/>
      <c r="Q179" s="546"/>
      <c r="R179" s="546"/>
      <c r="S179" s="546"/>
      <c r="T179" s="546"/>
      <c r="Y179"/>
    </row>
    <row r="180" spans="1:25" s="7" customFormat="1" x14ac:dyDescent="0.25">
      <c r="A180" s="546"/>
      <c r="B180" s="546"/>
      <c r="C180" s="546"/>
      <c r="D180" s="546" t="s">
        <v>316</v>
      </c>
      <c r="E180" s="556">
        <f>G180/G109</f>
        <v>4.1149309200357816E-2</v>
      </c>
      <c r="F180" s="546"/>
      <c r="G180" s="554">
        <f>G55+G56+G57</f>
        <v>7219258.5899999999</v>
      </c>
      <c r="H180" s="549">
        <f>G180/G182</f>
        <v>8.5088824663142153E-3</v>
      </c>
      <c r="I180" s="545"/>
      <c r="J180" s="545"/>
      <c r="K180" s="545"/>
      <c r="L180" s="545"/>
      <c r="M180" s="545"/>
      <c r="N180" s="545"/>
      <c r="O180" s="546"/>
      <c r="P180" s="556"/>
      <c r="Q180" s="546"/>
      <c r="R180" s="546"/>
      <c r="S180" s="546"/>
      <c r="T180" s="546"/>
      <c r="Y180"/>
    </row>
    <row r="181" spans="1:25" s="7" customFormat="1" x14ac:dyDescent="0.25">
      <c r="A181" s="546"/>
      <c r="B181" s="546"/>
      <c r="C181" s="546"/>
      <c r="D181" s="546"/>
      <c r="E181" s="556"/>
      <c r="F181" s="546"/>
      <c r="G181" s="554"/>
      <c r="H181" s="549"/>
      <c r="I181" s="545"/>
      <c r="J181" s="545"/>
      <c r="K181" s="545"/>
      <c r="L181" s="545"/>
      <c r="M181" s="545"/>
      <c r="N181" s="545"/>
      <c r="O181" s="546"/>
      <c r="P181" s="556"/>
      <c r="Q181" s="546"/>
      <c r="R181" s="546"/>
      <c r="S181" s="546"/>
      <c r="T181" s="546"/>
      <c r="Y181"/>
    </row>
    <row r="182" spans="1:25" s="7" customFormat="1" x14ac:dyDescent="0.25">
      <c r="A182" s="546"/>
      <c r="B182" s="546"/>
      <c r="C182" s="546"/>
      <c r="D182" s="546"/>
      <c r="E182" s="556">
        <f>E174+E175+E176+E177+E178+E179</f>
        <v>0.99149111753368568</v>
      </c>
      <c r="F182" s="546"/>
      <c r="G182" s="554">
        <f>SUM(G174:G181)</f>
        <v>848437925.73000002</v>
      </c>
      <c r="H182" s="549">
        <f>SUM(H174:H181)</f>
        <v>1</v>
      </c>
      <c r="I182" s="632">
        <f>G182/G172</f>
        <v>0.82864387568618747</v>
      </c>
      <c r="J182" s="545"/>
      <c r="K182" s="545"/>
      <c r="L182" s="545"/>
      <c r="M182" s="545"/>
      <c r="N182" s="545"/>
      <c r="O182" s="546"/>
      <c r="P182" s="556"/>
      <c r="Q182" s="546"/>
      <c r="R182" s="546"/>
      <c r="S182" s="546"/>
      <c r="T182" s="546"/>
      <c r="Y182"/>
    </row>
    <row r="183" spans="1:25" s="7" customFormat="1" x14ac:dyDescent="0.25">
      <c r="A183" s="546"/>
      <c r="B183" s="546"/>
      <c r="C183" s="546"/>
      <c r="D183" s="546"/>
      <c r="E183" s="546"/>
      <c r="F183" s="546"/>
      <c r="G183" s="554"/>
      <c r="H183" s="549"/>
      <c r="I183" s="545"/>
      <c r="J183" s="545"/>
      <c r="K183" s="545"/>
      <c r="L183" s="545"/>
      <c r="M183" s="545"/>
      <c r="N183" s="545"/>
      <c r="O183" s="546"/>
      <c r="P183" s="556"/>
      <c r="Q183" s="546"/>
      <c r="R183" s="546"/>
      <c r="S183" s="546"/>
      <c r="T183" s="546"/>
      <c r="Y183"/>
    </row>
    <row r="184" spans="1:25" s="7" customFormat="1" x14ac:dyDescent="0.25">
      <c r="A184" s="546"/>
      <c r="B184" s="546"/>
      <c r="C184" s="546"/>
      <c r="D184" s="546"/>
      <c r="E184" s="546"/>
      <c r="F184" s="546"/>
      <c r="G184" s="554"/>
      <c r="H184" s="549"/>
      <c r="I184" s="545"/>
      <c r="J184" s="545"/>
      <c r="K184" s="545"/>
      <c r="L184" s="545"/>
      <c r="M184" s="545"/>
      <c r="N184" s="545"/>
      <c r="O184" s="546"/>
      <c r="P184" s="556"/>
      <c r="Q184" s="546"/>
      <c r="R184" s="546"/>
      <c r="S184" s="546"/>
      <c r="T184" s="546"/>
      <c r="Y184"/>
    </row>
    <row r="185" spans="1:25" s="7" customFormat="1" x14ac:dyDescent="0.25">
      <c r="A185" s="546"/>
      <c r="B185" s="546"/>
      <c r="C185" s="546"/>
      <c r="D185" s="546"/>
      <c r="E185" s="546"/>
      <c r="F185" s="546"/>
      <c r="G185" s="554"/>
      <c r="H185" s="549"/>
      <c r="I185" s="545"/>
      <c r="J185" s="545"/>
      <c r="K185" s="545"/>
      <c r="L185" s="545"/>
      <c r="M185" s="545"/>
      <c r="N185" s="545"/>
      <c r="O185" s="546"/>
      <c r="P185" s="556"/>
      <c r="Q185" s="546"/>
      <c r="R185" s="546"/>
      <c r="S185" s="546"/>
      <c r="Y185"/>
    </row>
  </sheetData>
  <mergeCells count="53">
    <mergeCell ref="R89:R90"/>
    <mergeCell ref="S89:S90"/>
    <mergeCell ref="O92:O93"/>
    <mergeCell ref="P92:P94"/>
    <mergeCell ref="O78:O81"/>
    <mergeCell ref="P78:P81"/>
    <mergeCell ref="Q78:Q81"/>
    <mergeCell ref="O89:O90"/>
    <mergeCell ref="P89:P90"/>
    <mergeCell ref="Q89:Q90"/>
    <mergeCell ref="R78:R81"/>
    <mergeCell ref="S78:S81"/>
    <mergeCell ref="O83:O87"/>
    <mergeCell ref="P83:P87"/>
    <mergeCell ref="Q83:Q87"/>
    <mergeCell ref="R83:R87"/>
    <mergeCell ref="S83:S87"/>
    <mergeCell ref="O61:O62"/>
    <mergeCell ref="P61:P62"/>
    <mergeCell ref="Q61:Q62"/>
    <mergeCell ref="R61:R62"/>
    <mergeCell ref="S61:S62"/>
    <mergeCell ref="O66:O75"/>
    <mergeCell ref="P66:P75"/>
    <mergeCell ref="Q66:Q75"/>
    <mergeCell ref="R66:R75"/>
    <mergeCell ref="S66:S75"/>
    <mergeCell ref="O41:O49"/>
    <mergeCell ref="P41:P49"/>
    <mergeCell ref="Q41:Q49"/>
    <mergeCell ref="R41:R49"/>
    <mergeCell ref="S41:S49"/>
    <mergeCell ref="O55:O57"/>
    <mergeCell ref="P55:P57"/>
    <mergeCell ref="Q55:Q57"/>
    <mergeCell ref="R55:R57"/>
    <mergeCell ref="S55:S57"/>
    <mergeCell ref="O16:O28"/>
    <mergeCell ref="P16:P28"/>
    <mergeCell ref="Q16:Q28"/>
    <mergeCell ref="R16:R28"/>
    <mergeCell ref="S16:S28"/>
    <mergeCell ref="O32:O38"/>
    <mergeCell ref="P32:P38"/>
    <mergeCell ref="Q32:Q38"/>
    <mergeCell ref="R32:R38"/>
    <mergeCell ref="S32:S38"/>
    <mergeCell ref="S5:S14"/>
    <mergeCell ref="P3:R3"/>
    <mergeCell ref="O5:O14"/>
    <mergeCell ref="P5:P14"/>
    <mergeCell ref="Q5:Q14"/>
    <mergeCell ref="R5:R14"/>
  </mergeCells>
  <printOptions horizontalCentered="1"/>
  <pageMargins left="0.19685039370078741" right="0.19685039370078741" top="0.19685039370078741" bottom="0.19685039370078741" header="0.11811023622047245" footer="0.31496062992125984"/>
  <pageSetup paperSize="9" scale="50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87"/>
  <sheetViews>
    <sheetView tabSelected="1" topLeftCell="A91" zoomScale="98" zoomScaleNormal="98" workbookViewId="0">
      <selection activeCell="S102" sqref="S102"/>
    </sheetView>
  </sheetViews>
  <sheetFormatPr defaultRowHeight="15" x14ac:dyDescent="0.25"/>
  <cols>
    <col min="1" max="1" width="5" customWidth="1"/>
    <col min="2" max="2" width="30.140625" customWidth="1"/>
    <col min="3" max="3" width="0.28515625" customWidth="1"/>
    <col min="4" max="4" width="38.28515625" customWidth="1"/>
    <col min="5" max="5" width="7.7109375" bestFit="1" customWidth="1"/>
    <col min="6" max="6" width="6.28515625" customWidth="1"/>
    <col min="7" max="7" width="25.140625" style="1" bestFit="1" customWidth="1"/>
    <col min="8" max="8" width="11.5703125" style="291" customWidth="1"/>
    <col min="9" max="9" width="10.85546875" style="1" customWidth="1"/>
    <col min="10" max="10" width="7.5703125" style="1" customWidth="1"/>
    <col min="11" max="11" width="7.7109375" style="1" customWidth="1"/>
    <col min="12" max="12" width="9.140625" style="1" customWidth="1"/>
    <col min="13" max="13" width="14" style="294" bestFit="1" customWidth="1"/>
    <col min="14" max="14" width="8.140625" style="291" bestFit="1" customWidth="1"/>
    <col min="15" max="15" width="13.5703125" customWidth="1"/>
    <col min="16" max="16" width="7.28515625" customWidth="1"/>
    <col min="17" max="17" width="5" bestFit="1" customWidth="1"/>
    <col min="18" max="18" width="5.85546875" customWidth="1"/>
    <col min="19" max="19" width="23.7109375" bestFit="1" customWidth="1"/>
    <col min="20" max="24" width="14.42578125" style="7" customWidth="1"/>
    <col min="25" max="25" width="14.42578125" customWidth="1"/>
  </cols>
  <sheetData>
    <row r="1" spans="1:25" ht="16.5" customHeight="1" thickBot="1" x14ac:dyDescent="0.3">
      <c r="A1" s="1"/>
      <c r="B1" s="2" t="s">
        <v>350</v>
      </c>
      <c r="C1" s="3"/>
      <c r="D1" s="3"/>
      <c r="E1" s="3"/>
      <c r="F1" s="3"/>
      <c r="G1" s="3"/>
      <c r="H1" s="4"/>
      <c r="I1" s="3"/>
      <c r="J1" s="3"/>
      <c r="K1" s="3"/>
      <c r="L1" s="3"/>
      <c r="M1" s="5"/>
      <c r="N1" s="4"/>
      <c r="O1" s="3"/>
      <c r="P1" s="3"/>
      <c r="Q1" s="3"/>
      <c r="R1" s="3"/>
      <c r="S1" s="6"/>
    </row>
    <row r="2" spans="1:25" ht="15.75" customHeight="1" thickBot="1" x14ac:dyDescent="0.3">
      <c r="A2" s="8"/>
      <c r="B2" s="9" t="s">
        <v>0</v>
      </c>
      <c r="C2" s="10" t="s">
        <v>1</v>
      </c>
      <c r="D2" s="10" t="s">
        <v>2</v>
      </c>
      <c r="E2" s="11" t="s">
        <v>3</v>
      </c>
      <c r="F2" s="12" t="s">
        <v>3</v>
      </c>
      <c r="G2" s="13" t="s">
        <v>4</v>
      </c>
      <c r="H2" s="14"/>
      <c r="I2" s="15" t="s">
        <v>5</v>
      </c>
      <c r="J2" s="16"/>
      <c r="K2" s="16"/>
      <c r="L2" s="17"/>
      <c r="M2" s="18" t="s">
        <v>6</v>
      </c>
      <c r="N2" s="14"/>
      <c r="O2" s="19" t="s">
        <v>7</v>
      </c>
      <c r="P2" s="20" t="s">
        <v>8</v>
      </c>
      <c r="Q2" s="21"/>
      <c r="R2" s="22"/>
      <c r="S2" s="23" t="s">
        <v>9</v>
      </c>
      <c r="T2" s="7" t="s">
        <v>10</v>
      </c>
    </row>
    <row r="3" spans="1:25" ht="15.75" thickBot="1" x14ac:dyDescent="0.3">
      <c r="A3" s="8"/>
      <c r="B3" s="24"/>
      <c r="C3" s="25"/>
      <c r="D3" s="26"/>
      <c r="E3" s="27"/>
      <c r="F3" s="28"/>
      <c r="G3" s="29" t="s">
        <v>11</v>
      </c>
      <c r="H3" s="30" t="s">
        <v>12</v>
      </c>
      <c r="I3" s="31" t="s">
        <v>13</v>
      </c>
      <c r="J3" s="32" t="s">
        <v>14</v>
      </c>
      <c r="K3" s="33" t="s">
        <v>15</v>
      </c>
      <c r="L3" s="34"/>
      <c r="M3" s="35" t="s">
        <v>16</v>
      </c>
      <c r="N3" s="36" t="s">
        <v>17</v>
      </c>
      <c r="O3" s="37"/>
      <c r="P3" s="766" t="s">
        <v>18</v>
      </c>
      <c r="Q3" s="767"/>
      <c r="R3" s="768"/>
      <c r="S3" s="38" t="s">
        <v>19</v>
      </c>
      <c r="T3" s="39"/>
      <c r="U3" s="39"/>
      <c r="V3" s="39"/>
      <c r="W3" s="39"/>
      <c r="X3" s="39"/>
      <c r="Y3" s="39"/>
    </row>
    <row r="4" spans="1:25" s="53" customFormat="1" ht="12" customHeight="1" thickBot="1" x14ac:dyDescent="0.25">
      <c r="A4" s="40"/>
      <c r="B4" s="334" t="s">
        <v>163</v>
      </c>
      <c r="C4" s="335"/>
      <c r="D4" s="336"/>
      <c r="E4" s="336"/>
      <c r="F4" s="336"/>
      <c r="G4" s="582">
        <f>SUM(G5:G16)</f>
        <v>217708522.95999998</v>
      </c>
      <c r="H4" s="43">
        <f t="shared" ref="H4:H32" si="0">G4/$G$97</f>
        <v>0.20697453234029486</v>
      </c>
      <c r="I4" s="44"/>
      <c r="J4" s="44"/>
      <c r="K4" s="44"/>
      <c r="L4" s="44"/>
      <c r="M4" s="45"/>
      <c r="N4" s="46"/>
      <c r="O4" s="47"/>
      <c r="P4" s="48"/>
      <c r="Q4" s="49"/>
      <c r="R4" s="731"/>
      <c r="S4" s="51"/>
      <c r="T4" s="52"/>
      <c r="U4" s="52"/>
      <c r="V4" s="52"/>
      <c r="W4" s="52"/>
      <c r="X4" s="52"/>
      <c r="Y4" s="52"/>
    </row>
    <row r="5" spans="1:25" s="1" customFormat="1" ht="16.5" customHeight="1" x14ac:dyDescent="0.25">
      <c r="A5" s="8">
        <v>1</v>
      </c>
      <c r="B5" s="54" t="s">
        <v>21</v>
      </c>
      <c r="C5" s="55" t="s">
        <v>22</v>
      </c>
      <c r="D5" s="56" t="s">
        <v>23</v>
      </c>
      <c r="E5" s="57"/>
      <c r="F5" s="57"/>
      <c r="G5" s="384">
        <f>'[1]FFIN2 Julho 2018'!$G$5</f>
        <v>25877016</v>
      </c>
      <c r="H5" s="58">
        <f t="shared" si="0"/>
        <v>2.4601164952767492E-2</v>
      </c>
      <c r="I5" s="363">
        <f>'[1]FFIN2 Julho 2018'!$I$5</f>
        <v>6.7999999999999996E-3</v>
      </c>
      <c r="J5" s="59" t="s">
        <v>24</v>
      </c>
      <c r="K5" s="59"/>
      <c r="L5" s="60"/>
      <c r="M5" s="61">
        <v>0</v>
      </c>
      <c r="N5" s="62"/>
      <c r="O5" s="769" t="s">
        <v>20</v>
      </c>
      <c r="P5" s="772">
        <f>SUM(G5:G16)/G97</f>
        <v>0.20697453234029486</v>
      </c>
      <c r="Q5" s="775">
        <v>1</v>
      </c>
      <c r="R5" s="778">
        <v>0.4</v>
      </c>
      <c r="S5" s="763" t="s">
        <v>169</v>
      </c>
      <c r="T5" s="63"/>
      <c r="U5" s="64"/>
      <c r="V5" s="63"/>
      <c r="W5" s="63"/>
      <c r="X5" s="63"/>
      <c r="Y5" s="65"/>
    </row>
    <row r="6" spans="1:25" s="1" customFormat="1" ht="18.75" thickBot="1" x14ac:dyDescent="0.3">
      <c r="A6" s="8">
        <v>2</v>
      </c>
      <c r="B6" s="66" t="s">
        <v>21</v>
      </c>
      <c r="C6" s="67" t="s">
        <v>22</v>
      </c>
      <c r="D6" s="68" t="s">
        <v>25</v>
      </c>
      <c r="E6" s="68"/>
      <c r="F6" s="69"/>
      <c r="G6" s="384">
        <f>'[1]FFIN2 Julho 2018'!$G$6</f>
        <v>11351297.24</v>
      </c>
      <c r="H6" s="58">
        <f t="shared" si="0"/>
        <v>1.0791628208953241E-2</v>
      </c>
      <c r="I6" s="358">
        <f>'[1]FFIN2 Julho 2018'!$I$6</f>
        <v>1.7399999999999999E-2</v>
      </c>
      <c r="J6" s="72" t="s">
        <v>26</v>
      </c>
      <c r="K6" s="73"/>
      <c r="L6" s="74"/>
      <c r="M6" s="75"/>
      <c r="N6" s="76"/>
      <c r="O6" s="770"/>
      <c r="P6" s="773"/>
      <c r="Q6" s="776"/>
      <c r="R6" s="779"/>
      <c r="S6" s="764"/>
      <c r="T6" s="63"/>
      <c r="U6" s="64"/>
      <c r="V6" s="63"/>
      <c r="W6" s="63"/>
      <c r="X6" s="63"/>
      <c r="Y6" s="65"/>
    </row>
    <row r="7" spans="1:25" s="1" customFormat="1" ht="18" x14ac:dyDescent="0.25">
      <c r="A7" s="8">
        <v>3</v>
      </c>
      <c r="B7" s="54" t="s">
        <v>21</v>
      </c>
      <c r="C7" s="55" t="s">
        <v>22</v>
      </c>
      <c r="D7" s="56" t="s">
        <v>27</v>
      </c>
      <c r="E7" s="77"/>
      <c r="F7" s="68"/>
      <c r="G7" s="362">
        <f>'[1]FFIN2 Julho 2018'!$G$7</f>
        <v>24771311.079999998</v>
      </c>
      <c r="H7" s="58">
        <f t="shared" si="0"/>
        <v>2.3549976163225194E-2</v>
      </c>
      <c r="I7" s="358">
        <f>'[1]FFIN2 Julho 2018'!$I$7</f>
        <v>2.12E-2</v>
      </c>
      <c r="J7" s="59" t="s">
        <v>28</v>
      </c>
      <c r="K7" s="79"/>
      <c r="L7" s="735">
        <f>'[1]FFIN2 Julho 2018'!$L$7</f>
        <v>2.0960999999999999</v>
      </c>
      <c r="M7" s="81"/>
      <c r="N7" s="82"/>
      <c r="O7" s="770"/>
      <c r="P7" s="773"/>
      <c r="Q7" s="776"/>
      <c r="R7" s="779"/>
      <c r="S7" s="764"/>
      <c r="T7" s="63"/>
      <c r="U7" s="64"/>
      <c r="V7" s="63"/>
      <c r="W7" s="63"/>
      <c r="X7" s="63"/>
      <c r="Y7" s="65"/>
    </row>
    <row r="8" spans="1:25" s="1" customFormat="1" ht="18.75" thickBot="1" x14ac:dyDescent="0.3">
      <c r="A8" s="8">
        <v>4</v>
      </c>
      <c r="B8" s="54" t="s">
        <v>21</v>
      </c>
      <c r="C8" s="67" t="s">
        <v>22</v>
      </c>
      <c r="D8" s="83" t="s">
        <v>29</v>
      </c>
      <c r="E8" s="83"/>
      <c r="F8" s="68"/>
      <c r="G8" s="357">
        <f>'[1]FFIN2 Julho 2018'!$G$8</f>
        <v>27851378.68</v>
      </c>
      <c r="H8" s="58">
        <f t="shared" si="0"/>
        <v>2.6478182842591728E-2</v>
      </c>
      <c r="I8" s="358">
        <f>'[1]FFIN2 Julho 2018'!$I$8</f>
        <v>2.7E-2</v>
      </c>
      <c r="J8" s="84" t="s">
        <v>30</v>
      </c>
      <c r="K8" s="79"/>
      <c r="L8" s="85"/>
      <c r="M8" s="75"/>
      <c r="N8" s="76"/>
      <c r="O8" s="770"/>
      <c r="P8" s="773"/>
      <c r="Q8" s="776"/>
      <c r="R8" s="779"/>
      <c r="S8" s="764"/>
      <c r="T8" s="63"/>
      <c r="U8" s="64"/>
      <c r="V8" s="63"/>
      <c r="W8" s="63"/>
      <c r="X8" s="63"/>
      <c r="Y8" s="65"/>
    </row>
    <row r="9" spans="1:25" s="1" customFormat="1" ht="18" x14ac:dyDescent="0.25">
      <c r="A9" s="8">
        <v>5</v>
      </c>
      <c r="B9" s="66" t="s">
        <v>21</v>
      </c>
      <c r="C9" s="368" t="s">
        <v>22</v>
      </c>
      <c r="D9" s="83" t="s">
        <v>31</v>
      </c>
      <c r="E9" s="83"/>
      <c r="F9" s="77"/>
      <c r="G9" s="362">
        <f>'[1]FFIN2 Julho 2018'!$G$10</f>
        <v>11304383.109999999</v>
      </c>
      <c r="H9" s="58">
        <f t="shared" si="0"/>
        <v>1.0747027152527507E-2</v>
      </c>
      <c r="I9" s="415">
        <f>'[1]FFIN2 Julho 2018'!$I$10</f>
        <v>2.7E-2</v>
      </c>
      <c r="J9" s="369" t="s">
        <v>32</v>
      </c>
      <c r="K9" s="370"/>
      <c r="L9" s="371"/>
      <c r="M9" s="75"/>
      <c r="N9" s="86"/>
      <c r="O9" s="770"/>
      <c r="P9" s="773"/>
      <c r="Q9" s="776"/>
      <c r="R9" s="779"/>
      <c r="S9" s="764"/>
      <c r="T9" s="63"/>
      <c r="U9" s="64"/>
      <c r="V9" s="63"/>
      <c r="W9" s="63"/>
      <c r="X9" s="63"/>
      <c r="Y9" s="65"/>
    </row>
    <row r="10" spans="1:25" s="1" customFormat="1" ht="18" x14ac:dyDescent="0.25">
      <c r="A10" s="8">
        <v>6</v>
      </c>
      <c r="B10" s="66" t="s">
        <v>21</v>
      </c>
      <c r="C10" s="136" t="s">
        <v>22</v>
      </c>
      <c r="D10" s="68" t="s">
        <v>33</v>
      </c>
      <c r="E10" s="68"/>
      <c r="F10" s="68"/>
      <c r="G10" s="384">
        <f>'[1]FFIN2 Julho 2018'!$G$11</f>
        <v>19659796.719999999</v>
      </c>
      <c r="H10" s="58">
        <f t="shared" si="0"/>
        <v>1.8690482011009198E-2</v>
      </c>
      <c r="I10" s="358">
        <f>'[1]FFIN2 Julho 2018'!$I$11</f>
        <v>2.7E-2</v>
      </c>
      <c r="J10" s="72" t="s">
        <v>34</v>
      </c>
      <c r="K10" s="79"/>
      <c r="L10" s="79"/>
      <c r="M10" s="61"/>
      <c r="N10" s="76"/>
      <c r="O10" s="770"/>
      <c r="P10" s="773"/>
      <c r="Q10" s="776"/>
      <c r="R10" s="779"/>
      <c r="S10" s="764"/>
      <c r="T10" s="64"/>
      <c r="U10" s="64"/>
      <c r="V10" s="63"/>
      <c r="W10" s="64"/>
      <c r="X10" s="64"/>
      <c r="Y10" s="90"/>
    </row>
    <row r="11" spans="1:25" s="1" customFormat="1" ht="18.75" thickBot="1" x14ac:dyDescent="0.3">
      <c r="A11" s="8"/>
      <c r="B11" s="66" t="s">
        <v>21</v>
      </c>
      <c r="C11" s="67"/>
      <c r="D11" s="68" t="s">
        <v>353</v>
      </c>
      <c r="E11" s="83"/>
      <c r="F11" s="83"/>
      <c r="G11" s="362">
        <f>'[1]FFIN2 Julho 2018'!$G$9</f>
        <v>42596226.229999997</v>
      </c>
      <c r="H11" s="58">
        <f t="shared" si="0"/>
        <v>4.0496044360355581E-2</v>
      </c>
      <c r="I11" s="415">
        <f>'[1]FFIN2 Julho 2018'!$I$9</f>
        <v>1.4E-3</v>
      </c>
      <c r="J11" s="73" t="s">
        <v>352</v>
      </c>
      <c r="K11" s="352"/>
      <c r="L11" s="353"/>
      <c r="M11" s="153"/>
      <c r="N11" s="76"/>
      <c r="O11" s="770"/>
      <c r="P11" s="773"/>
      <c r="Q11" s="776"/>
      <c r="R11" s="779"/>
      <c r="S11" s="764"/>
      <c r="T11" s="64"/>
      <c r="U11" s="64"/>
      <c r="V11" s="63"/>
      <c r="W11" s="64"/>
      <c r="X11" s="64"/>
      <c r="Y11" s="90"/>
    </row>
    <row r="12" spans="1:25" s="1" customFormat="1" ht="18.75" thickBot="1" x14ac:dyDescent="0.3">
      <c r="A12" s="8"/>
      <c r="B12" s="361" t="s">
        <v>192</v>
      </c>
      <c r="C12" s="67"/>
      <c r="D12" s="68" t="s">
        <v>351</v>
      </c>
      <c r="E12" s="83"/>
      <c r="F12" s="83"/>
      <c r="G12" s="362">
        <f>'[2]FFPREV Julho 2018'!$G$8</f>
        <v>13106531.140000001</v>
      </c>
      <c r="H12" s="58">
        <f t="shared" si="0"/>
        <v>1.2460321334334831E-2</v>
      </c>
      <c r="I12" s="415">
        <f>'[2]FFPREV Julho 2018'!$I$8</f>
        <v>1.4E-3</v>
      </c>
      <c r="J12" s="354" t="s">
        <v>352</v>
      </c>
      <c r="K12" s="352"/>
      <c r="L12" s="353"/>
      <c r="M12" s="153"/>
      <c r="N12" s="76"/>
      <c r="O12" s="770"/>
      <c r="P12" s="773"/>
      <c r="Q12" s="776"/>
      <c r="R12" s="779"/>
      <c r="S12" s="764"/>
      <c r="T12" s="64"/>
      <c r="U12" s="64"/>
      <c r="V12" s="63"/>
      <c r="W12" s="64"/>
      <c r="X12" s="64"/>
      <c r="Y12" s="90"/>
    </row>
    <row r="13" spans="1:25" s="1" customFormat="1" ht="18" x14ac:dyDescent="0.25">
      <c r="A13" s="8"/>
      <c r="B13" s="372" t="s">
        <v>192</v>
      </c>
      <c r="C13" s="55" t="s">
        <v>22</v>
      </c>
      <c r="D13" s="56" t="s">
        <v>187</v>
      </c>
      <c r="E13" s="56"/>
      <c r="F13" s="56"/>
      <c r="G13" s="357">
        <f>'[2]FFPREV Julho 2018'!$G$5</f>
        <v>12938508</v>
      </c>
      <c r="H13" s="58">
        <f t="shared" si="0"/>
        <v>1.2300582476383746E-2</v>
      </c>
      <c r="I13" s="373">
        <f>'[2]FFPREV Julho 2018'!$I$5</f>
        <v>6.7999999999999996E-3</v>
      </c>
      <c r="J13" s="359" t="s">
        <v>24</v>
      </c>
      <c r="K13" s="359"/>
      <c r="L13" s="374"/>
      <c r="M13" s="153"/>
      <c r="N13" s="375"/>
      <c r="O13" s="770"/>
      <c r="P13" s="773"/>
      <c r="Q13" s="776"/>
      <c r="R13" s="779"/>
      <c r="S13" s="764"/>
      <c r="T13" s="64"/>
      <c r="U13" s="64"/>
      <c r="V13" s="63"/>
      <c r="W13" s="64"/>
      <c r="X13" s="64"/>
      <c r="Y13" s="90"/>
    </row>
    <row r="14" spans="1:25" s="1" customFormat="1" ht="18.75" thickBot="1" x14ac:dyDescent="0.3">
      <c r="A14" s="8"/>
      <c r="B14" s="361" t="s">
        <v>192</v>
      </c>
      <c r="C14" s="67" t="s">
        <v>22</v>
      </c>
      <c r="D14" s="68" t="s">
        <v>188</v>
      </c>
      <c r="E14" s="83"/>
      <c r="F14" s="83"/>
      <c r="G14" s="362">
        <f>'[2]FFPREV Julho 2018'!$G$6</f>
        <v>6518766.0700000003</v>
      </c>
      <c r="H14" s="58">
        <f t="shared" si="0"/>
        <v>6.1973621447145941E-3</v>
      </c>
      <c r="I14" s="363">
        <f>'[2]FFPREV Julho 2018'!$I$6</f>
        <v>2.12E-2</v>
      </c>
      <c r="J14" s="351" t="s">
        <v>26</v>
      </c>
      <c r="K14" s="352"/>
      <c r="L14" s="353"/>
      <c r="M14" s="153"/>
      <c r="N14" s="76"/>
      <c r="O14" s="770"/>
      <c r="P14" s="773"/>
      <c r="Q14" s="776"/>
      <c r="R14" s="779"/>
      <c r="S14" s="764"/>
      <c r="T14" s="64"/>
      <c r="U14" s="64"/>
      <c r="V14" s="63"/>
      <c r="W14" s="64"/>
      <c r="X14" s="64"/>
      <c r="Y14" s="90"/>
    </row>
    <row r="15" spans="1:25" s="1" customFormat="1" ht="18.75" thickBot="1" x14ac:dyDescent="0.3">
      <c r="A15" s="8"/>
      <c r="B15" s="361" t="s">
        <v>192</v>
      </c>
      <c r="C15" s="67" t="s">
        <v>22</v>
      </c>
      <c r="D15" s="68" t="s">
        <v>189</v>
      </c>
      <c r="E15" s="83"/>
      <c r="F15" s="83"/>
      <c r="G15" s="364">
        <f>'[2]FFPREV Julho 2018'!$G$7</f>
        <v>11248083.779999999</v>
      </c>
      <c r="H15" s="58">
        <f t="shared" si="0"/>
        <v>1.0693503627865301E-2</v>
      </c>
      <c r="I15" s="358">
        <f>'[2]FFPREV Julho 2018'!$I$7</f>
        <v>2.3400000000000001E-2</v>
      </c>
      <c r="J15" s="354" t="s">
        <v>190</v>
      </c>
      <c r="K15" s="352"/>
      <c r="L15" s="360"/>
      <c r="M15" s="153"/>
      <c r="N15" s="76"/>
      <c r="O15" s="770"/>
      <c r="P15" s="773"/>
      <c r="Q15" s="776"/>
      <c r="R15" s="779"/>
      <c r="S15" s="764"/>
      <c r="T15" s="64"/>
      <c r="U15" s="64"/>
      <c r="V15" s="63"/>
      <c r="W15" s="64"/>
      <c r="X15" s="64"/>
      <c r="Y15" s="90"/>
    </row>
    <row r="16" spans="1:25" s="1" customFormat="1" ht="18.75" thickBot="1" x14ac:dyDescent="0.3">
      <c r="A16" s="8"/>
      <c r="B16" s="365" t="s">
        <v>193</v>
      </c>
      <c r="C16" s="67" t="s">
        <v>22</v>
      </c>
      <c r="D16" s="88" t="s">
        <v>191</v>
      </c>
      <c r="E16" s="88"/>
      <c r="F16" s="88"/>
      <c r="G16" s="366">
        <f>'[2]FFPREV Julho 2018'!$G$9</f>
        <v>10485224.91</v>
      </c>
      <c r="H16" s="58">
        <f t="shared" si="0"/>
        <v>9.9682570655664719E-3</v>
      </c>
      <c r="I16" s="367">
        <f>'[2]FFPREV Julho 2018'!$I$9</f>
        <v>2.7E-2</v>
      </c>
      <c r="J16" s="355" t="s">
        <v>30</v>
      </c>
      <c r="K16" s="355"/>
      <c r="L16" s="356"/>
      <c r="M16" s="170"/>
      <c r="N16" s="76"/>
      <c r="O16" s="771"/>
      <c r="P16" s="774"/>
      <c r="Q16" s="777"/>
      <c r="R16" s="780"/>
      <c r="S16" s="765"/>
      <c r="T16" s="64"/>
      <c r="U16" s="64"/>
      <c r="V16" s="63"/>
      <c r="W16" s="64"/>
      <c r="X16" s="64"/>
      <c r="Y16" s="90"/>
    </row>
    <row r="17" spans="1:25" s="53" customFormat="1" ht="18.75" thickBot="1" x14ac:dyDescent="0.25">
      <c r="A17" s="40"/>
      <c r="B17" s="334" t="s">
        <v>164</v>
      </c>
      <c r="C17" s="335"/>
      <c r="D17" s="336"/>
      <c r="E17" s="336"/>
      <c r="F17" s="336"/>
      <c r="G17" s="582">
        <f>SUM(G18:G32)</f>
        <v>425518417.94999999</v>
      </c>
      <c r="H17" s="58">
        <f t="shared" si="0"/>
        <v>0.40453848273806409</v>
      </c>
      <c r="I17" s="91"/>
      <c r="J17" s="92"/>
      <c r="K17" s="92"/>
      <c r="L17" s="44"/>
      <c r="M17" s="93"/>
      <c r="N17" s="131"/>
      <c r="O17" s="572"/>
      <c r="P17" s="320"/>
      <c r="Q17" s="732"/>
      <c r="R17" s="732"/>
      <c r="S17" s="573"/>
      <c r="T17" s="52"/>
      <c r="U17" s="52"/>
      <c r="V17" s="52"/>
      <c r="W17" s="52"/>
      <c r="X17" s="52"/>
      <c r="Y17" s="52"/>
    </row>
    <row r="18" spans="1:25" s="1" customFormat="1" ht="15.75" customHeight="1" thickBot="1" x14ac:dyDescent="0.3">
      <c r="A18" s="8">
        <v>7</v>
      </c>
      <c r="B18" s="636" t="s">
        <v>35</v>
      </c>
      <c r="C18" s="98" t="s">
        <v>36</v>
      </c>
      <c r="D18" s="99" t="s">
        <v>37</v>
      </c>
      <c r="E18" s="653" t="s">
        <v>38</v>
      </c>
      <c r="F18" s="100" t="s">
        <v>39</v>
      </c>
      <c r="G18" s="583">
        <f>'[1]FFIN2 Julho 2018'!$G$13</f>
        <v>69724667.969999999</v>
      </c>
      <c r="H18" s="199">
        <f t="shared" si="0"/>
        <v>6.6286934243380835E-2</v>
      </c>
      <c r="I18" s="432">
        <f>'[1]FFIN2 Julho 2018'!$I$13</f>
        <v>1.46E-2</v>
      </c>
      <c r="J18" s="637"/>
      <c r="K18" s="144"/>
      <c r="L18" s="145" t="s">
        <v>40</v>
      </c>
      <c r="M18" s="638">
        <f>'[1]FFIN2 Julho 2018'!$M$13</f>
        <v>1191348011.53</v>
      </c>
      <c r="N18" s="106">
        <f t="shared" ref="N18:N32" si="1">G18/M18</f>
        <v>5.8525860869533354E-2</v>
      </c>
      <c r="O18" s="781" t="s">
        <v>41</v>
      </c>
      <c r="P18" s="784">
        <f>(SUM(G18:G32)/G97)</f>
        <v>0.40453848273806409</v>
      </c>
      <c r="Q18" s="787">
        <v>1</v>
      </c>
      <c r="R18" s="790">
        <v>0.5</v>
      </c>
      <c r="S18" s="793" t="s">
        <v>296</v>
      </c>
      <c r="T18" s="64"/>
      <c r="U18" s="64"/>
      <c r="V18" s="63"/>
      <c r="W18" s="64"/>
      <c r="X18" s="64"/>
      <c r="Y18" s="90"/>
    </row>
    <row r="19" spans="1:25" s="1" customFormat="1" ht="15.75" customHeight="1" thickBot="1" x14ac:dyDescent="0.3">
      <c r="A19" s="8"/>
      <c r="B19" s="54" t="s">
        <v>35</v>
      </c>
      <c r="C19" s="98" t="s">
        <v>77</v>
      </c>
      <c r="D19" s="68" t="s">
        <v>330</v>
      </c>
      <c r="E19" s="190" t="s">
        <v>38</v>
      </c>
      <c r="F19" s="115" t="s">
        <v>39</v>
      </c>
      <c r="G19" s="384">
        <f>'[1]FFIN2 Julho 2018'!$G$14</f>
        <v>25036011.190000001</v>
      </c>
      <c r="H19" s="70">
        <f t="shared" si="0"/>
        <v>2.3801625390057445E-2</v>
      </c>
      <c r="I19" s="358">
        <f>'[1]FFIN2 Julho 2018'!$I$14</f>
        <v>1.4999999999999999E-2</v>
      </c>
      <c r="J19" s="111"/>
      <c r="K19" s="147"/>
      <c r="L19" s="118" t="s">
        <v>40</v>
      </c>
      <c r="M19" s="445">
        <f>'[1]FFIN2 Julho 2018'!$M$14</f>
        <v>1927127997.78</v>
      </c>
      <c r="N19" s="119">
        <f t="shared" si="1"/>
        <v>1.2991358757093882E-2</v>
      </c>
      <c r="O19" s="782"/>
      <c r="P19" s="785"/>
      <c r="Q19" s="788"/>
      <c r="R19" s="791"/>
      <c r="S19" s="794"/>
      <c r="T19" s="64"/>
      <c r="U19" s="64"/>
      <c r="V19" s="63"/>
      <c r="W19" s="64"/>
      <c r="X19" s="64"/>
      <c r="Y19" s="90"/>
    </row>
    <row r="20" spans="1:25" s="1" customFormat="1" ht="15.75" customHeight="1" thickBot="1" x14ac:dyDescent="0.3">
      <c r="A20" s="8"/>
      <c r="B20" s="54" t="s">
        <v>322</v>
      </c>
      <c r="C20" s="98" t="s">
        <v>36</v>
      </c>
      <c r="D20" s="83" t="s">
        <v>37</v>
      </c>
      <c r="E20" s="110" t="s">
        <v>38</v>
      </c>
      <c r="F20" s="115" t="s">
        <v>39</v>
      </c>
      <c r="G20" s="384">
        <f>'[2]FFPREV Julho 2018'!$G$11</f>
        <v>25412975.780000001</v>
      </c>
      <c r="H20" s="78">
        <f t="shared" si="0"/>
        <v>2.4160003962762362E-2</v>
      </c>
      <c r="I20" s="358">
        <f>'[2]FFPREV Julho 2018'!$I$11</f>
        <v>1.46E-2</v>
      </c>
      <c r="J20" s="111"/>
      <c r="K20" s="147"/>
      <c r="L20" s="118" t="s">
        <v>40</v>
      </c>
      <c r="M20" s="445">
        <f>'[2]FFPREV Julho 2018'!$M$11</f>
        <v>1191348011.53</v>
      </c>
      <c r="N20" s="128">
        <f t="shared" si="1"/>
        <v>2.133127812700434E-2</v>
      </c>
      <c r="O20" s="782"/>
      <c r="P20" s="785"/>
      <c r="Q20" s="788"/>
      <c r="R20" s="791"/>
      <c r="S20" s="794"/>
      <c r="T20" s="64"/>
      <c r="U20" s="64"/>
      <c r="V20" s="63"/>
      <c r="W20" s="64"/>
      <c r="X20" s="64"/>
      <c r="Y20" s="90"/>
    </row>
    <row r="21" spans="1:25" s="1" customFormat="1" ht="15.75" customHeight="1" x14ac:dyDescent="0.25">
      <c r="A21" s="8"/>
      <c r="B21" s="107" t="s">
        <v>331</v>
      </c>
      <c r="C21" s="98" t="s">
        <v>77</v>
      </c>
      <c r="D21" s="83" t="s">
        <v>330</v>
      </c>
      <c r="E21" s="190" t="s">
        <v>38</v>
      </c>
      <c r="F21" s="115" t="s">
        <v>39</v>
      </c>
      <c r="G21" s="364">
        <f>'[2]FFPREV Julho 2018'!$G$12</f>
        <v>10014404.470000001</v>
      </c>
      <c r="H21" s="204">
        <f t="shared" si="0"/>
        <v>9.5206501503188046E-3</v>
      </c>
      <c r="I21" s="373">
        <f>'[2]FFPREV Julho 2018'!$I$12</f>
        <v>1.4999999999999999E-2</v>
      </c>
      <c r="J21" s="411"/>
      <c r="K21" s="147"/>
      <c r="L21" s="118" t="s">
        <v>40</v>
      </c>
      <c r="M21" s="445">
        <f>'[2]FFPREV Julho 2018'!$M$12</f>
        <v>1927127997.78</v>
      </c>
      <c r="N21" s="128">
        <f t="shared" si="1"/>
        <v>5.1965434997241116E-3</v>
      </c>
      <c r="O21" s="782"/>
      <c r="P21" s="785"/>
      <c r="Q21" s="788"/>
      <c r="R21" s="791"/>
      <c r="S21" s="794"/>
      <c r="T21" s="64"/>
      <c r="U21" s="64"/>
      <c r="V21" s="63"/>
      <c r="W21" s="64"/>
      <c r="X21" s="64"/>
      <c r="Y21" s="90"/>
    </row>
    <row r="22" spans="1:25" s="1" customFormat="1" ht="15.75" customHeight="1" thickBot="1" x14ac:dyDescent="0.3">
      <c r="A22" s="8">
        <v>8</v>
      </c>
      <c r="B22" s="107" t="s">
        <v>42</v>
      </c>
      <c r="C22" s="108" t="s">
        <v>43</v>
      </c>
      <c r="D22" s="56" t="s">
        <v>44</v>
      </c>
      <c r="E22" s="109" t="s">
        <v>38</v>
      </c>
      <c r="F22" s="110" t="s">
        <v>39</v>
      </c>
      <c r="G22" s="384">
        <f>'[1]FFIN2 Julho 2018'!$G$15</f>
        <v>19963198.149999999</v>
      </c>
      <c r="H22" s="70">
        <f t="shared" si="0"/>
        <v>1.8978924412031618E-2</v>
      </c>
      <c r="I22" s="376">
        <f>'[1]FFIN2 Julho 2018'!$I$15</f>
        <v>1.4831E-2</v>
      </c>
      <c r="J22" s="111"/>
      <c r="K22" s="112"/>
      <c r="L22" s="113" t="s">
        <v>45</v>
      </c>
      <c r="M22" s="418">
        <f>'[1]FFIN2 Julho 2018'!$M$15</f>
        <v>5447124355.3299999</v>
      </c>
      <c r="N22" s="114">
        <f t="shared" si="1"/>
        <v>3.664905893045392E-3</v>
      </c>
      <c r="O22" s="782"/>
      <c r="P22" s="785"/>
      <c r="Q22" s="788"/>
      <c r="R22" s="791"/>
      <c r="S22" s="794"/>
      <c r="T22" s="64"/>
      <c r="U22" s="64"/>
      <c r="V22" s="63"/>
      <c r="W22" s="64"/>
      <c r="X22" s="64"/>
      <c r="Y22" s="90"/>
    </row>
    <row r="23" spans="1:25" s="1" customFormat="1" ht="15.75" customHeight="1" thickBot="1" x14ac:dyDescent="0.3">
      <c r="A23" s="8"/>
      <c r="B23" s="107" t="s">
        <v>194</v>
      </c>
      <c r="C23" s="108" t="s">
        <v>43</v>
      </c>
      <c r="D23" s="56" t="s">
        <v>44</v>
      </c>
      <c r="E23" s="109" t="s">
        <v>38</v>
      </c>
      <c r="F23" s="110" t="s">
        <v>39</v>
      </c>
      <c r="G23" s="357">
        <f>'[2]FFPREV Julho 2018'!$G$13</f>
        <v>14964210.08</v>
      </c>
      <c r="H23" s="78">
        <f t="shared" si="0"/>
        <v>1.42264085073003E-2</v>
      </c>
      <c r="I23" s="376">
        <f>'[2]FFPREV Julho 2018'!$I$13</f>
        <v>1.4831E-2</v>
      </c>
      <c r="J23" s="111"/>
      <c r="K23" s="377"/>
      <c r="L23" s="211" t="s">
        <v>45</v>
      </c>
      <c r="M23" s="741">
        <f>'[2]FFPREV Julho 2018'!$M$13</f>
        <v>5447124355.3299999</v>
      </c>
      <c r="N23" s="378">
        <f t="shared" si="1"/>
        <v>2.7471761435660176E-3</v>
      </c>
      <c r="O23" s="782"/>
      <c r="P23" s="785"/>
      <c r="Q23" s="788"/>
      <c r="R23" s="791"/>
      <c r="S23" s="794"/>
      <c r="T23" s="64"/>
      <c r="U23" s="64"/>
      <c r="V23" s="63"/>
      <c r="W23" s="64"/>
      <c r="X23" s="64"/>
      <c r="Y23" s="90"/>
    </row>
    <row r="24" spans="1:25" s="1" customFormat="1" ht="15.75" customHeight="1" thickBot="1" x14ac:dyDescent="0.3">
      <c r="A24" s="8"/>
      <c r="B24" s="107" t="s">
        <v>42</v>
      </c>
      <c r="C24" s="108" t="s">
        <v>43</v>
      </c>
      <c r="D24" s="56" t="s">
        <v>61</v>
      </c>
      <c r="E24" s="109" t="s">
        <v>38</v>
      </c>
      <c r="F24" s="109" t="s">
        <v>39</v>
      </c>
      <c r="G24" s="584">
        <f>'[1]FFIN2 Julho 2018'!$G$16</f>
        <v>22980661.350000001</v>
      </c>
      <c r="H24" s="70">
        <f t="shared" si="0"/>
        <v>2.1847613364502246E-2</v>
      </c>
      <c r="I24" s="376">
        <f>'[1]FFIN2 Julho 2018'!$I$16</f>
        <v>1.4585000000000001E-2</v>
      </c>
      <c r="J24" s="111"/>
      <c r="K24" s="112"/>
      <c r="L24" s="127" t="s">
        <v>53</v>
      </c>
      <c r="M24" s="428">
        <v>2278192713.8699999</v>
      </c>
      <c r="N24" s="114">
        <f>G24/M24</f>
        <v>1.0087233274906937E-2</v>
      </c>
      <c r="O24" s="782"/>
      <c r="P24" s="785"/>
      <c r="Q24" s="788"/>
      <c r="R24" s="791"/>
      <c r="S24" s="794"/>
      <c r="T24" s="64"/>
      <c r="U24" s="64"/>
      <c r="V24" s="63"/>
      <c r="W24" s="64"/>
      <c r="X24" s="64"/>
      <c r="Y24" s="90"/>
    </row>
    <row r="25" spans="1:25" s="1" customFormat="1" ht="15.75" customHeight="1" thickBot="1" x14ac:dyDescent="0.3">
      <c r="A25" s="8"/>
      <c r="B25" s="107" t="s">
        <v>214</v>
      </c>
      <c r="C25" s="108" t="s">
        <v>43</v>
      </c>
      <c r="D25" s="56" t="s">
        <v>61</v>
      </c>
      <c r="E25" s="110" t="s">
        <v>38</v>
      </c>
      <c r="F25" s="190" t="s">
        <v>39</v>
      </c>
      <c r="G25" s="357">
        <f>'[2]FFPREV Julho 2018'!$G$14</f>
        <v>20213360.93</v>
      </c>
      <c r="H25" s="70">
        <f t="shared" si="0"/>
        <v>1.9216753063365406E-2</v>
      </c>
      <c r="I25" s="376">
        <f>'[2]FFPREV Julho 2018'!$I$14</f>
        <v>1.4585000000000001E-2</v>
      </c>
      <c r="J25" s="111"/>
      <c r="K25" s="377"/>
      <c r="L25" s="381" t="s">
        <v>53</v>
      </c>
      <c r="M25" s="742">
        <f>'[2]FFPREV Julho 2018'!$M$14</f>
        <v>2278192713.8699999</v>
      </c>
      <c r="N25" s="114">
        <f>G25/M25</f>
        <v>8.8725421721076708E-3</v>
      </c>
      <c r="O25" s="782"/>
      <c r="P25" s="785"/>
      <c r="Q25" s="788"/>
      <c r="R25" s="791"/>
      <c r="S25" s="794"/>
      <c r="T25" s="64"/>
      <c r="U25" s="64"/>
      <c r="V25" s="63"/>
      <c r="W25" s="64"/>
      <c r="X25" s="64"/>
      <c r="Y25" s="90"/>
    </row>
    <row r="26" spans="1:25" s="1" customFormat="1" ht="15.75" customHeight="1" thickBot="1" x14ac:dyDescent="0.3">
      <c r="A26" s="8"/>
      <c r="B26" s="54" t="s">
        <v>55</v>
      </c>
      <c r="C26" s="98" t="s">
        <v>36</v>
      </c>
      <c r="D26" s="68" t="s">
        <v>56</v>
      </c>
      <c r="E26" s="124" t="s">
        <v>38</v>
      </c>
      <c r="F26" s="124" t="s">
        <v>39</v>
      </c>
      <c r="G26" s="386">
        <f>'[1]FFIN2 Julho 2018'!$G$20</f>
        <v>7061718.4000000004</v>
      </c>
      <c r="H26" s="70">
        <f t="shared" si="0"/>
        <v>6.713544529569921E-3</v>
      </c>
      <c r="I26" s="358">
        <f>'[1]FFIN2 Julho 2018'!$I$20</f>
        <v>1.44E-2</v>
      </c>
      <c r="J26" s="125"/>
      <c r="K26" s="126"/>
      <c r="L26" s="127" t="s">
        <v>53</v>
      </c>
      <c r="M26" s="420">
        <f>'[1]FFIN2 Julho 2018'!$M$20</f>
        <v>1264845506.3800001</v>
      </c>
      <c r="N26" s="128">
        <f t="shared" si="1"/>
        <v>5.5830679433812478E-3</v>
      </c>
      <c r="O26" s="782"/>
      <c r="P26" s="785"/>
      <c r="Q26" s="788"/>
      <c r="R26" s="791"/>
      <c r="S26" s="794"/>
      <c r="T26" s="64"/>
      <c r="U26" s="64"/>
      <c r="V26" s="63"/>
      <c r="W26" s="64"/>
      <c r="X26" s="64"/>
      <c r="Y26" s="90"/>
    </row>
    <row r="27" spans="1:25" s="1" customFormat="1" ht="15.75" customHeight="1" x14ac:dyDescent="0.25">
      <c r="A27" s="8">
        <v>9</v>
      </c>
      <c r="B27" s="107" t="s">
        <v>46</v>
      </c>
      <c r="C27" s="98" t="s">
        <v>36</v>
      </c>
      <c r="D27" s="68" t="s">
        <v>47</v>
      </c>
      <c r="E27" s="115" t="s">
        <v>48</v>
      </c>
      <c r="F27" s="115" t="s">
        <v>49</v>
      </c>
      <c r="G27" s="384">
        <f>'[1]FFIN2 Julho 2018'!$G$17</f>
        <v>12492531.26</v>
      </c>
      <c r="H27" s="78">
        <f t="shared" si="0"/>
        <v>1.1876594357126196E-2</v>
      </c>
      <c r="I27" s="363">
        <f>'[1]FFIN2 Julho 2018'!$I$17</f>
        <v>2.3699999999999999E-2</v>
      </c>
      <c r="J27" s="117"/>
      <c r="K27" s="112"/>
      <c r="L27" s="118" t="s">
        <v>40</v>
      </c>
      <c r="M27" s="418">
        <f>'[1]FFIN2 Julho 2018'!$M$17</f>
        <v>265516607.53</v>
      </c>
      <c r="N27" s="119">
        <f t="shared" si="1"/>
        <v>4.704990537583794E-2</v>
      </c>
      <c r="O27" s="782"/>
      <c r="P27" s="785"/>
      <c r="Q27" s="788"/>
      <c r="R27" s="791"/>
      <c r="S27" s="794"/>
      <c r="T27" s="64"/>
      <c r="U27" s="64"/>
      <c r="V27" s="63"/>
      <c r="W27" s="64"/>
      <c r="X27" s="64"/>
      <c r="Y27" s="90"/>
    </row>
    <row r="28" spans="1:25" s="1" customFormat="1" ht="18.75" thickBot="1" x14ac:dyDescent="0.3">
      <c r="A28" s="8">
        <v>10</v>
      </c>
      <c r="B28" s="120" t="s">
        <v>50</v>
      </c>
      <c r="C28" s="88" t="s">
        <v>51</v>
      </c>
      <c r="D28" s="68" t="s">
        <v>52</v>
      </c>
      <c r="E28" s="110" t="s">
        <v>38</v>
      </c>
      <c r="F28" s="110" t="s">
        <v>38</v>
      </c>
      <c r="G28" s="585">
        <f>'[1]FFIN2 Julho 2018'!$G$18</f>
        <v>53840104.490000002</v>
      </c>
      <c r="H28" s="204">
        <f t="shared" si="0"/>
        <v>5.118554981890986E-2</v>
      </c>
      <c r="I28" s="358">
        <f>'[1]FFIN2 Julho 2018'!$I$18</f>
        <v>1.4619E-2</v>
      </c>
      <c r="J28" s="121"/>
      <c r="K28" s="122"/>
      <c r="L28" s="123" t="s">
        <v>53</v>
      </c>
      <c r="M28" s="421">
        <f>'[1]FFIN2 Julho 2018'!$M$18</f>
        <v>7322766489.3900003</v>
      </c>
      <c r="N28" s="119">
        <f t="shared" si="1"/>
        <v>7.3524267867901083E-3</v>
      </c>
      <c r="O28" s="782"/>
      <c r="P28" s="785"/>
      <c r="Q28" s="788"/>
      <c r="R28" s="791"/>
      <c r="S28" s="794"/>
      <c r="T28" s="64"/>
      <c r="U28" s="64"/>
      <c r="V28" s="63"/>
      <c r="W28" s="64"/>
      <c r="X28" s="64"/>
      <c r="Y28" s="90"/>
    </row>
    <row r="29" spans="1:25" s="1" customFormat="1" ht="18.75" thickBot="1" x14ac:dyDescent="0.3">
      <c r="A29" s="8">
        <v>11</v>
      </c>
      <c r="B29" s="120" t="s">
        <v>50</v>
      </c>
      <c r="C29" s="88" t="s">
        <v>51</v>
      </c>
      <c r="D29" s="68" t="s">
        <v>54</v>
      </c>
      <c r="E29" s="110" t="s">
        <v>38</v>
      </c>
      <c r="F29" s="110" t="s">
        <v>38</v>
      </c>
      <c r="G29" s="585">
        <f>'[1]FFIN2 Julho 2018'!$G$19</f>
        <v>62859333.060000002</v>
      </c>
      <c r="H29" s="78">
        <f t="shared" si="0"/>
        <v>5.9760090631393162E-2</v>
      </c>
      <c r="I29" s="358">
        <f>'[1]FFIN2 Julho 2018'!$I$19</f>
        <v>1.5878E-2</v>
      </c>
      <c r="J29" s="121"/>
      <c r="K29" s="122"/>
      <c r="L29" s="123" t="s">
        <v>53</v>
      </c>
      <c r="M29" s="421">
        <f>'[1]FFIN2 Julho 2018'!$M$19</f>
        <v>2432051278.1199999</v>
      </c>
      <c r="N29" s="119">
        <f t="shared" si="1"/>
        <v>2.5846220277308832E-2</v>
      </c>
      <c r="O29" s="782"/>
      <c r="P29" s="785"/>
      <c r="Q29" s="788"/>
      <c r="R29" s="791"/>
      <c r="S29" s="794"/>
      <c r="T29" s="64"/>
      <c r="U29" s="64"/>
      <c r="V29" s="63"/>
      <c r="W29" s="64"/>
      <c r="X29" s="64"/>
      <c r="Y29" s="90"/>
    </row>
    <row r="30" spans="1:25" s="1" customFormat="1" ht="18.75" thickBot="1" x14ac:dyDescent="0.3">
      <c r="A30" s="8"/>
      <c r="B30" s="120" t="s">
        <v>196</v>
      </c>
      <c r="C30" s="88" t="s">
        <v>51</v>
      </c>
      <c r="D30" s="68" t="s">
        <v>54</v>
      </c>
      <c r="E30" s="115" t="s">
        <v>38</v>
      </c>
      <c r="F30" s="115" t="s">
        <v>38</v>
      </c>
      <c r="G30" s="364">
        <f>'[2]FFPREV Julho 2018'!$G$15</f>
        <v>33196021.649999999</v>
      </c>
      <c r="H30" s="204">
        <f t="shared" si="0"/>
        <v>3.1559311335870054E-2</v>
      </c>
      <c r="I30" s="358">
        <f>'[2]FFPREV Julho 2018'!$I$15</f>
        <v>1.5878E-2</v>
      </c>
      <c r="J30" s="379"/>
      <c r="K30" s="380"/>
      <c r="L30" s="381" t="s">
        <v>53</v>
      </c>
      <c r="M30" s="743">
        <f>'[2]FFPREV Julho 2018'!$M$15</f>
        <v>2432051278.1199999</v>
      </c>
      <c r="N30" s="119">
        <f t="shared" si="1"/>
        <v>1.3649392160703476E-2</v>
      </c>
      <c r="O30" s="782"/>
      <c r="P30" s="785"/>
      <c r="Q30" s="788"/>
      <c r="R30" s="791"/>
      <c r="S30" s="794"/>
      <c r="T30" s="64"/>
      <c r="U30" s="64"/>
      <c r="V30" s="63"/>
      <c r="W30" s="64"/>
      <c r="X30" s="64"/>
      <c r="Y30" s="90"/>
    </row>
    <row r="31" spans="1:25" s="1" customFormat="1" ht="18" x14ac:dyDescent="0.25">
      <c r="A31" s="8">
        <v>12</v>
      </c>
      <c r="B31" s="54" t="s">
        <v>196</v>
      </c>
      <c r="C31" s="197" t="s">
        <v>51</v>
      </c>
      <c r="D31" s="83" t="s">
        <v>197</v>
      </c>
      <c r="E31" s="115" t="s">
        <v>38</v>
      </c>
      <c r="F31" s="115" t="s">
        <v>38</v>
      </c>
      <c r="G31" s="364">
        <f>'[2]FFPREV Julho 2018'!$G$16</f>
        <v>43000470.590000004</v>
      </c>
      <c r="H31" s="70">
        <f t="shared" si="0"/>
        <v>4.0880357690052722E-2</v>
      </c>
      <c r="I31" s="358">
        <f>'[2]FFPREV Julho 2018'!$I$16</f>
        <v>1.4619E-2</v>
      </c>
      <c r="J31" s="125"/>
      <c r="K31" s="383"/>
      <c r="L31" s="381" t="s">
        <v>53</v>
      </c>
      <c r="M31" s="744">
        <f>'[2]FFPREV Julho 2018'!$M$16</f>
        <v>7322766489.3900003</v>
      </c>
      <c r="N31" s="119">
        <f t="shared" si="1"/>
        <v>5.8721619284601853E-3</v>
      </c>
      <c r="O31" s="782"/>
      <c r="P31" s="785"/>
      <c r="Q31" s="788"/>
      <c r="R31" s="791"/>
      <c r="S31" s="794"/>
      <c r="T31" s="64"/>
      <c r="U31" s="64"/>
      <c r="V31" s="63"/>
      <c r="W31" s="64"/>
      <c r="X31" s="64"/>
      <c r="Y31" s="90"/>
    </row>
    <row r="32" spans="1:25" s="1" customFormat="1" ht="18.75" thickBot="1" x14ac:dyDescent="0.3">
      <c r="A32" s="129">
        <v>13</v>
      </c>
      <c r="B32" s="662" t="s">
        <v>212</v>
      </c>
      <c r="C32" s="87" t="s">
        <v>100</v>
      </c>
      <c r="D32" s="210" t="s">
        <v>338</v>
      </c>
      <c r="E32" s="110" t="s">
        <v>38</v>
      </c>
      <c r="F32" s="110" t="s">
        <v>39</v>
      </c>
      <c r="G32" s="457">
        <f>'[2]FFPREV Julho 2018'!$G$17</f>
        <v>4758748.58</v>
      </c>
      <c r="H32" s="70">
        <f t="shared" si="0"/>
        <v>4.5241212814231772E-3</v>
      </c>
      <c r="I32" s="447">
        <f>'[2]FFPREV Julho 2018'!$I$17</f>
        <v>2.0500000000000001E-2</v>
      </c>
      <c r="J32" s="411"/>
      <c r="K32" s="403"/>
      <c r="L32" s="381" t="s">
        <v>339</v>
      </c>
      <c r="M32" s="745">
        <f>'[2]FFPREV Julho 2018'!$M$17</f>
        <v>266675055.75</v>
      </c>
      <c r="N32" s="70">
        <f t="shared" si="1"/>
        <v>1.7844745796026705E-2</v>
      </c>
      <c r="O32" s="783"/>
      <c r="P32" s="786"/>
      <c r="Q32" s="789"/>
      <c r="R32" s="792"/>
      <c r="S32" s="795"/>
      <c r="T32" s="64"/>
      <c r="U32" s="64"/>
      <c r="V32" s="63"/>
      <c r="W32" s="64"/>
      <c r="X32" s="64"/>
      <c r="Y32" s="90"/>
    </row>
    <row r="33" spans="1:25" s="1" customFormat="1" ht="23.25" thickBot="1" x14ac:dyDescent="0.3">
      <c r="A33" s="185"/>
      <c r="B33" s="337" t="s">
        <v>168</v>
      </c>
      <c r="C33" s="338"/>
      <c r="D33" s="339"/>
      <c r="E33" s="340"/>
      <c r="F33" s="340"/>
      <c r="G33" s="609">
        <v>0</v>
      </c>
      <c r="H33" s="43"/>
      <c r="I33" s="43"/>
      <c r="J33" s="43"/>
      <c r="K33" s="318"/>
      <c r="L33" s="321"/>
      <c r="M33" s="315"/>
      <c r="N33" s="187"/>
      <c r="O33" s="316" t="s">
        <v>41</v>
      </c>
      <c r="P33" s="733">
        <v>0</v>
      </c>
      <c r="Q33" s="173">
        <v>1</v>
      </c>
      <c r="R33" s="96">
        <v>0</v>
      </c>
      <c r="S33" s="734" t="s">
        <v>297</v>
      </c>
      <c r="T33" s="64"/>
      <c r="U33" s="64"/>
      <c r="V33" s="63"/>
      <c r="W33" s="64"/>
      <c r="X33" s="64"/>
      <c r="Y33" s="90"/>
    </row>
    <row r="34" spans="1:25" s="1" customFormat="1" ht="23.25" thickBot="1" x14ac:dyDescent="0.3">
      <c r="A34" s="185"/>
      <c r="B34" s="337" t="s">
        <v>165</v>
      </c>
      <c r="C34" s="338"/>
      <c r="D34" s="341"/>
      <c r="E34" s="342"/>
      <c r="F34" s="342"/>
      <c r="G34" s="609">
        <v>0</v>
      </c>
      <c r="H34" s="43"/>
      <c r="I34" s="116"/>
      <c r="J34" s="116"/>
      <c r="K34" s="198"/>
      <c r="L34" s="113"/>
      <c r="M34" s="319"/>
      <c r="N34" s="218"/>
      <c r="O34" s="316" t="s">
        <v>41</v>
      </c>
      <c r="P34" s="322">
        <v>0</v>
      </c>
      <c r="Q34" s="172">
        <v>0.05</v>
      </c>
      <c r="R34" s="173">
        <v>0</v>
      </c>
      <c r="S34" s="569" t="s">
        <v>298</v>
      </c>
      <c r="T34" s="64"/>
      <c r="U34" s="64"/>
      <c r="V34" s="63"/>
      <c r="W34" s="64"/>
      <c r="X34" s="64"/>
      <c r="Y34" s="90"/>
    </row>
    <row r="35" spans="1:25" s="53" customFormat="1" ht="18.75" thickBot="1" x14ac:dyDescent="0.25">
      <c r="A35" s="40"/>
      <c r="B35" s="334" t="s">
        <v>166</v>
      </c>
      <c r="C35" s="335"/>
      <c r="D35" s="336"/>
      <c r="E35" s="336"/>
      <c r="F35" s="336"/>
      <c r="G35" s="582">
        <f>SUM(G36:G36)</f>
        <v>21439488.98</v>
      </c>
      <c r="H35" s="43">
        <f>G35/$G$97</f>
        <v>2.0382427591342869E-2</v>
      </c>
      <c r="I35" s="91"/>
      <c r="J35" s="44"/>
      <c r="K35" s="44"/>
      <c r="L35" s="44"/>
      <c r="M35" s="130"/>
      <c r="N35" s="131"/>
      <c r="O35" s="42"/>
      <c r="P35" s="730"/>
      <c r="Q35" s="730"/>
      <c r="R35" s="730"/>
      <c r="S35" s="140"/>
      <c r="T35" s="52"/>
      <c r="U35" s="52"/>
      <c r="V35" s="52"/>
      <c r="W35" s="52"/>
      <c r="X35" s="52"/>
      <c r="Y35" s="52"/>
    </row>
    <row r="36" spans="1:25" s="53" customFormat="1" ht="18.75" thickBot="1" x14ac:dyDescent="0.3">
      <c r="A36" s="40"/>
      <c r="B36" s="54" t="s">
        <v>199</v>
      </c>
      <c r="C36" s="197" t="s">
        <v>200</v>
      </c>
      <c r="D36" s="83" t="s">
        <v>201</v>
      </c>
      <c r="E36" s="110" t="s">
        <v>38</v>
      </c>
      <c r="F36" s="110" t="s">
        <v>38</v>
      </c>
      <c r="G36" s="364">
        <f>'[2]FFPREV Julho 2018'!$G$21</f>
        <v>21439488.98</v>
      </c>
      <c r="H36" s="141">
        <f>G36/$G$97</f>
        <v>2.0382427591342869E-2</v>
      </c>
      <c r="I36" s="358">
        <f>'[2]FFPREV Julho 2018'!$I$21</f>
        <v>2.2939999999999999E-2</v>
      </c>
      <c r="J36" s="326"/>
      <c r="K36" s="383"/>
      <c r="L36" s="381" t="s">
        <v>40</v>
      </c>
      <c r="M36" s="431">
        <f>'[2]FFPREV Julho 2018'!$M$21</f>
        <v>1819137882.8299999</v>
      </c>
      <c r="N36" s="378">
        <f t="shared" ref="N36" si="2">G36/M36</f>
        <v>1.1785521692642107E-2</v>
      </c>
      <c r="O36" s="739"/>
      <c r="P36" s="737"/>
      <c r="Q36" s="736"/>
      <c r="R36" s="736"/>
      <c r="S36" s="738"/>
      <c r="T36" s="52"/>
      <c r="U36" s="52"/>
      <c r="V36" s="52"/>
      <c r="W36" s="52"/>
      <c r="X36" s="52"/>
      <c r="Y36" s="52"/>
    </row>
    <row r="37" spans="1:25" s="1" customFormat="1" ht="23.25" thickBot="1" x14ac:dyDescent="0.3">
      <c r="A37" s="8"/>
      <c r="B37" s="343" t="s">
        <v>172</v>
      </c>
      <c r="C37" s="338"/>
      <c r="D37" s="344"/>
      <c r="E37" s="340"/>
      <c r="F37" s="340"/>
      <c r="G37" s="609">
        <v>0</v>
      </c>
      <c r="H37" s="328"/>
      <c r="I37" s="43"/>
      <c r="J37" s="43"/>
      <c r="K37" s="329"/>
      <c r="L37" s="654"/>
      <c r="M37" s="330"/>
      <c r="N37" s="43"/>
      <c r="O37" s="316" t="s">
        <v>167</v>
      </c>
      <c r="P37" s="322">
        <v>0</v>
      </c>
      <c r="Q37" s="173">
        <v>0.6</v>
      </c>
      <c r="R37" s="173">
        <v>0</v>
      </c>
      <c r="S37" s="569" t="s">
        <v>299</v>
      </c>
      <c r="T37" s="139"/>
      <c r="U37" s="64"/>
      <c r="V37" s="63"/>
      <c r="W37" s="63"/>
      <c r="X37" s="63"/>
      <c r="Y37" s="65"/>
    </row>
    <row r="38" spans="1:25" s="53" customFormat="1" ht="18.75" thickBot="1" x14ac:dyDescent="0.25">
      <c r="A38" s="40"/>
      <c r="B38" s="334" t="s">
        <v>170</v>
      </c>
      <c r="C38" s="335"/>
      <c r="D38" s="336"/>
      <c r="E38" s="336"/>
      <c r="F38" s="336"/>
      <c r="G38" s="587">
        <f>SUM(G39:G51)</f>
        <v>197333887.54000002</v>
      </c>
      <c r="H38" s="215">
        <f>G38/$G$97</f>
        <v>0.18760445633076123</v>
      </c>
      <c r="I38" s="327"/>
      <c r="J38" s="44"/>
      <c r="K38" s="162"/>
      <c r="L38" s="44"/>
      <c r="M38" s="130"/>
      <c r="N38" s="131"/>
      <c r="O38" s="42"/>
      <c r="P38" s="730"/>
      <c r="Q38" s="730"/>
      <c r="R38" s="730"/>
      <c r="S38" s="140"/>
      <c r="T38" s="52"/>
      <c r="U38" s="52"/>
      <c r="V38" s="52"/>
      <c r="W38" s="52"/>
      <c r="X38" s="52"/>
      <c r="Y38" s="52"/>
    </row>
    <row r="39" spans="1:25" s="1" customFormat="1" ht="18" x14ac:dyDescent="0.25">
      <c r="A39" s="8">
        <v>19</v>
      </c>
      <c r="B39" s="54" t="s">
        <v>72</v>
      </c>
      <c r="C39" s="136" t="s">
        <v>68</v>
      </c>
      <c r="D39" s="68" t="s">
        <v>73</v>
      </c>
      <c r="E39" s="124" t="s">
        <v>70</v>
      </c>
      <c r="F39" s="124" t="s">
        <v>74</v>
      </c>
      <c r="G39" s="386">
        <f>'[1]FFIN2 Julho 2018'!$G$26</f>
        <v>618565.89</v>
      </c>
      <c r="H39" s="141">
        <f>G39/$G$97</f>
        <v>5.8806786277233161E-4</v>
      </c>
      <c r="I39" s="415">
        <f>'[1]FFIN2 Julho 2018'!$I$26</f>
        <v>4.5999999999999999E-3</v>
      </c>
      <c r="J39" s="411"/>
      <c r="K39" s="126"/>
      <c r="L39" s="746" t="s">
        <v>71</v>
      </c>
      <c r="M39" s="404">
        <f>'[1]FFIN2 Julho 2018'!$M$26</f>
        <v>8257738766.0600004</v>
      </c>
      <c r="N39" s="119">
        <f t="shared" ref="N39:N51" si="3">G39/M39</f>
        <v>7.4907418062479498E-5</v>
      </c>
      <c r="O39" s="781" t="s">
        <v>167</v>
      </c>
      <c r="P39" s="796">
        <f>SUM(G39:G51)/G97</f>
        <v>0.18760445633076123</v>
      </c>
      <c r="Q39" s="790">
        <v>0.4</v>
      </c>
      <c r="R39" s="790">
        <v>0.3</v>
      </c>
      <c r="S39" s="793" t="s">
        <v>343</v>
      </c>
      <c r="T39" s="64"/>
      <c r="U39" s="64"/>
      <c r="V39" s="63"/>
      <c r="W39" s="64"/>
      <c r="X39" s="64"/>
      <c r="Y39" s="90"/>
    </row>
    <row r="40" spans="1:25" s="1" customFormat="1" ht="18" x14ac:dyDescent="0.25">
      <c r="A40" s="8">
        <v>20</v>
      </c>
      <c r="B40" s="54" t="s">
        <v>72</v>
      </c>
      <c r="C40" s="136" t="s">
        <v>68</v>
      </c>
      <c r="D40" s="68" t="s">
        <v>69</v>
      </c>
      <c r="E40" s="124" t="s">
        <v>70</v>
      </c>
      <c r="F40" s="124" t="s">
        <v>70</v>
      </c>
      <c r="G40" s="386">
        <f>'[1]FFIN2 Julho 2018'!$G$27</f>
        <v>239306.58</v>
      </c>
      <c r="H40" s="141">
        <f>G40/$G$97</f>
        <v>2.2750770988674463E-4</v>
      </c>
      <c r="I40" s="415">
        <f>'[1]FFIN2 Julho 2018'!$I$27</f>
        <v>5.3E-3</v>
      </c>
      <c r="J40" s="146"/>
      <c r="K40" s="147"/>
      <c r="L40" s="746" t="s">
        <v>71</v>
      </c>
      <c r="M40" s="404">
        <f>'[1]FFIN2 Julho 2018'!$M$27</f>
        <v>6791040417.9399996</v>
      </c>
      <c r="N40" s="119">
        <f t="shared" si="3"/>
        <v>3.5238573955151259E-5</v>
      </c>
      <c r="O40" s="782"/>
      <c r="P40" s="797"/>
      <c r="Q40" s="791"/>
      <c r="R40" s="791"/>
      <c r="S40" s="794"/>
      <c r="T40" s="64"/>
      <c r="U40" s="64"/>
      <c r="V40" s="63"/>
      <c r="W40" s="64"/>
      <c r="X40" s="64"/>
      <c r="Y40" s="90"/>
    </row>
    <row r="41" spans="1:25" s="1" customFormat="1" ht="18" x14ac:dyDescent="0.25">
      <c r="A41" s="8"/>
      <c r="B41" s="54" t="s">
        <v>215</v>
      </c>
      <c r="C41" s="136" t="s">
        <v>68</v>
      </c>
      <c r="D41" s="68" t="s">
        <v>69</v>
      </c>
      <c r="E41" s="124" t="s">
        <v>70</v>
      </c>
      <c r="F41" s="124" t="s">
        <v>70</v>
      </c>
      <c r="G41" s="386">
        <f>'[2]FFPREV Julho 2018'!$G$24</f>
        <v>1381.04</v>
      </c>
      <c r="H41" s="141">
        <f>G41/$G$97</f>
        <v>1.3129486354365594E-6</v>
      </c>
      <c r="I41" s="363">
        <f>'[2]FFPREV Julho 2018'!$I$24</f>
        <v>5.3E-3</v>
      </c>
      <c r="J41" s="111"/>
      <c r="K41" s="403"/>
      <c r="L41" s="747" t="s">
        <v>71</v>
      </c>
      <c r="M41" s="404">
        <f>'[2]FFPREV Julho 2018'!$M$24</f>
        <v>6791040417.9399996</v>
      </c>
      <c r="N41" s="382">
        <f t="shared" si="3"/>
        <v>2.0336206457433012E-7</v>
      </c>
      <c r="O41" s="782"/>
      <c r="P41" s="797"/>
      <c r="Q41" s="791"/>
      <c r="R41" s="791"/>
      <c r="S41" s="794"/>
      <c r="T41" s="64"/>
      <c r="U41" s="64"/>
      <c r="V41" s="63"/>
      <c r="W41" s="64"/>
      <c r="X41" s="64"/>
      <c r="Y41" s="90"/>
    </row>
    <row r="42" spans="1:25" s="1" customFormat="1" ht="15.75" x14ac:dyDescent="0.25">
      <c r="A42" s="8"/>
      <c r="B42" s="54" t="s">
        <v>42</v>
      </c>
      <c r="C42" s="55" t="s">
        <v>43</v>
      </c>
      <c r="D42" s="56" t="s">
        <v>59</v>
      </c>
      <c r="E42" s="109" t="s">
        <v>38</v>
      </c>
      <c r="F42" s="115" t="s">
        <v>39</v>
      </c>
      <c r="G42" s="615">
        <f>'[1]FFIN2 Julho 2018'!$G$28</f>
        <v>52323368.68</v>
      </c>
      <c r="H42" s="141">
        <f t="shared" ref="H42:H51" si="4">G42/$G$97</f>
        <v>4.9743595775538732E-2</v>
      </c>
      <c r="I42" s="358">
        <f>'[1]FFIN2 Julho 2018'!$I$28</f>
        <v>2.3726000000000001E-2</v>
      </c>
      <c r="J42" s="111"/>
      <c r="K42" s="147"/>
      <c r="L42" s="748" t="s">
        <v>40</v>
      </c>
      <c r="M42" s="445">
        <f>'[1]FFIN2 Julho 2018'!$M$28</f>
        <v>996875803.38</v>
      </c>
      <c r="N42" s="119">
        <f>G42/M42</f>
        <v>5.2487349479837665E-2</v>
      </c>
      <c r="O42" s="782"/>
      <c r="P42" s="797"/>
      <c r="Q42" s="791"/>
      <c r="R42" s="791"/>
      <c r="S42" s="794"/>
      <c r="T42" s="64"/>
      <c r="U42" s="64"/>
      <c r="V42" s="63"/>
      <c r="W42" s="64"/>
      <c r="X42" s="64"/>
      <c r="Y42" s="90"/>
    </row>
    <row r="43" spans="1:25" s="1" customFormat="1" ht="18.75" thickBot="1" x14ac:dyDescent="0.3">
      <c r="A43" s="8">
        <v>21</v>
      </c>
      <c r="B43" s="148" t="s">
        <v>75</v>
      </c>
      <c r="C43" s="149"/>
      <c r="D43" s="150" t="s">
        <v>76</v>
      </c>
      <c r="E43" s="124" t="s">
        <v>38</v>
      </c>
      <c r="F43" s="115" t="s">
        <v>39</v>
      </c>
      <c r="G43" s="384">
        <f>'[1]FFIN2 Julho 2018'!$G$29</f>
        <v>16329160.060000001</v>
      </c>
      <c r="H43" s="141">
        <f t="shared" si="4"/>
        <v>1.5524060431705212E-2</v>
      </c>
      <c r="I43" s="358">
        <f>'[1]FFIN2 Julho 2018'!$I$29</f>
        <v>5.7000000000000002E-3</v>
      </c>
      <c r="J43" s="151"/>
      <c r="K43" s="152"/>
      <c r="L43" s="749" t="s">
        <v>71</v>
      </c>
      <c r="M43" s="434">
        <f>'[1]FFIN2 Julho 2018'!$M$29</f>
        <v>207341637.59999999</v>
      </c>
      <c r="N43" s="119">
        <f t="shared" si="3"/>
        <v>7.8754852373173312E-2</v>
      </c>
      <c r="O43" s="782"/>
      <c r="P43" s="797"/>
      <c r="Q43" s="791"/>
      <c r="R43" s="791"/>
      <c r="S43" s="794"/>
      <c r="T43" s="64"/>
      <c r="U43" s="64"/>
      <c r="V43" s="63"/>
      <c r="W43" s="64"/>
      <c r="X43" s="64"/>
      <c r="Y43" s="90"/>
    </row>
    <row r="44" spans="1:25" s="1" customFormat="1" ht="18.75" thickBot="1" x14ac:dyDescent="0.3">
      <c r="A44" s="8">
        <v>22</v>
      </c>
      <c r="B44" s="54" t="s">
        <v>55</v>
      </c>
      <c r="C44" s="98" t="s">
        <v>36</v>
      </c>
      <c r="D44" s="68" t="s">
        <v>79</v>
      </c>
      <c r="E44" s="124" t="s">
        <v>38</v>
      </c>
      <c r="F44" s="124" t="s">
        <v>39</v>
      </c>
      <c r="G44" s="386">
        <f>'[1]FFIN2 Julho 2018'!$G$31</f>
        <v>27094470.010000002</v>
      </c>
      <c r="H44" s="141">
        <f t="shared" si="4"/>
        <v>2.5758593109183141E-2</v>
      </c>
      <c r="I44" s="358">
        <f>'[1]FFIN2 Julho 2018'!$I$31</f>
        <v>5.7000000000000002E-3</v>
      </c>
      <c r="J44" s="125"/>
      <c r="K44" s="126"/>
      <c r="L44" s="746" t="s">
        <v>80</v>
      </c>
      <c r="M44" s="435">
        <f>'[1]FFIN2 Julho 2018'!$M$31</f>
        <v>1394012894.54</v>
      </c>
      <c r="N44" s="119">
        <f t="shared" si="3"/>
        <v>1.9436312329765577E-2</v>
      </c>
      <c r="O44" s="782"/>
      <c r="P44" s="797"/>
      <c r="Q44" s="791"/>
      <c r="R44" s="791"/>
      <c r="S44" s="794"/>
      <c r="T44" s="64"/>
      <c r="U44" s="64"/>
      <c r="V44" s="63"/>
      <c r="W44" s="64"/>
      <c r="X44" s="64"/>
      <c r="Y44" s="90"/>
    </row>
    <row r="45" spans="1:25" s="1" customFormat="1" ht="18.75" thickBot="1" x14ac:dyDescent="0.3">
      <c r="A45" s="8"/>
      <c r="B45" s="54" t="s">
        <v>202</v>
      </c>
      <c r="C45" s="98" t="s">
        <v>36</v>
      </c>
      <c r="D45" s="68" t="s">
        <v>79</v>
      </c>
      <c r="E45" s="124" t="s">
        <v>38</v>
      </c>
      <c r="F45" s="124" t="s">
        <v>39</v>
      </c>
      <c r="G45" s="384">
        <f>'[2]FFPREV Julho 2018'!$G$26</f>
        <v>8669272.8800000008</v>
      </c>
      <c r="H45" s="141">
        <f t="shared" si="4"/>
        <v>8.241839481856552E-3</v>
      </c>
      <c r="I45" s="358">
        <f>'[1]FFIN2 Julho 2018'!$I$31</f>
        <v>5.7000000000000002E-3</v>
      </c>
      <c r="J45" s="125"/>
      <c r="K45" s="380"/>
      <c r="L45" s="747" t="s">
        <v>80</v>
      </c>
      <c r="M45" s="436">
        <f>'[2]FFPREV Julho 2018'!$M$26</f>
        <v>1394012894.54</v>
      </c>
      <c r="N45" s="382">
        <f t="shared" si="3"/>
        <v>6.2189330629260145E-3</v>
      </c>
      <c r="O45" s="782"/>
      <c r="P45" s="797"/>
      <c r="Q45" s="791"/>
      <c r="R45" s="791"/>
      <c r="S45" s="794"/>
      <c r="T45" s="64"/>
      <c r="U45" s="64"/>
      <c r="V45" s="63"/>
      <c r="W45" s="64"/>
      <c r="X45" s="64"/>
      <c r="Y45" s="90"/>
    </row>
    <row r="46" spans="1:25" s="1" customFormat="1" ht="18.75" thickBot="1" x14ac:dyDescent="0.3">
      <c r="A46" s="8"/>
      <c r="B46" s="54" t="s">
        <v>55</v>
      </c>
      <c r="C46" s="98" t="s">
        <v>77</v>
      </c>
      <c r="D46" s="68" t="s">
        <v>78</v>
      </c>
      <c r="E46" s="124" t="s">
        <v>38</v>
      </c>
      <c r="F46" s="124" t="s">
        <v>38</v>
      </c>
      <c r="G46" s="386">
        <f>'[1]FFIN2 Julho 2018'!$G$30</f>
        <v>0</v>
      </c>
      <c r="H46" s="141">
        <f t="shared" si="4"/>
        <v>0</v>
      </c>
      <c r="I46" s="358">
        <f>'[1]FFIN2 Julho 2018'!$I$30</f>
        <v>0</v>
      </c>
      <c r="J46" s="125"/>
      <c r="K46" s="126"/>
      <c r="L46" s="749" t="s">
        <v>71</v>
      </c>
      <c r="M46" s="435">
        <f>'[1]FFIN2 Julho 2018'!$M$30</f>
        <v>10845925063.57</v>
      </c>
      <c r="N46" s="119">
        <f t="shared" si="3"/>
        <v>0</v>
      </c>
      <c r="O46" s="782"/>
      <c r="P46" s="797"/>
      <c r="Q46" s="791"/>
      <c r="R46" s="791"/>
      <c r="S46" s="794"/>
      <c r="T46" s="64"/>
      <c r="U46" s="64"/>
      <c r="V46" s="63"/>
      <c r="W46" s="64"/>
      <c r="X46" s="64"/>
      <c r="Y46" s="90"/>
    </row>
    <row r="47" spans="1:25" s="1" customFormat="1" ht="18" x14ac:dyDescent="0.25">
      <c r="A47" s="8">
        <v>23</v>
      </c>
      <c r="B47" s="54" t="s">
        <v>203</v>
      </c>
      <c r="C47" s="98" t="s">
        <v>204</v>
      </c>
      <c r="D47" s="68" t="s">
        <v>78</v>
      </c>
      <c r="E47" s="124" t="s">
        <v>38</v>
      </c>
      <c r="F47" s="124" t="s">
        <v>38</v>
      </c>
      <c r="G47" s="386">
        <f>'[2]FFPREV Julho 2018'!$G$27</f>
        <v>0</v>
      </c>
      <c r="H47" s="141">
        <f t="shared" si="4"/>
        <v>0</v>
      </c>
      <c r="I47" s="358">
        <f>'[2]FFPREV Julho 2018'!$I$27</f>
        <v>0</v>
      </c>
      <c r="J47" s="125"/>
      <c r="K47" s="380"/>
      <c r="L47" s="750" t="s">
        <v>71</v>
      </c>
      <c r="M47" s="435">
        <f>'[2]FFPREV Julho 2018'!$M$27</f>
        <v>10845925063.57</v>
      </c>
      <c r="N47" s="382">
        <f t="shared" si="3"/>
        <v>0</v>
      </c>
      <c r="O47" s="782"/>
      <c r="P47" s="797"/>
      <c r="Q47" s="791"/>
      <c r="R47" s="791"/>
      <c r="S47" s="794"/>
      <c r="T47" s="64"/>
      <c r="U47" s="64"/>
      <c r="V47" s="63"/>
      <c r="W47" s="64"/>
      <c r="X47" s="64"/>
      <c r="Y47" s="90"/>
    </row>
    <row r="48" spans="1:25" s="1" customFormat="1" ht="18" x14ac:dyDescent="0.25">
      <c r="A48" s="8"/>
      <c r="B48" s="54" t="s">
        <v>198</v>
      </c>
      <c r="C48" s="136" t="s">
        <v>65</v>
      </c>
      <c r="D48" s="137" t="s">
        <v>66</v>
      </c>
      <c r="E48" s="109" t="s">
        <v>38</v>
      </c>
      <c r="F48" s="109" t="s">
        <v>39</v>
      </c>
      <c r="G48" s="357">
        <f>'[2]FFPREV Julho 2018'!$G$25</f>
        <v>8822144.0299999993</v>
      </c>
      <c r="H48" s="141">
        <f t="shared" si="4"/>
        <v>8.3871734097587958E-3</v>
      </c>
      <c r="I48" s="376">
        <f>'[2]FFPREV Julho 2018'!$I$25</f>
        <v>1.4999999999999999E-2</v>
      </c>
      <c r="J48" s="111"/>
      <c r="K48" s="406"/>
      <c r="L48" s="751" t="s">
        <v>53</v>
      </c>
      <c r="M48" s="431">
        <f>'[2]FFPREV Julho 2018'!$M$25</f>
        <v>541139680.02999997</v>
      </c>
      <c r="N48" s="114">
        <f>G48/M48</f>
        <v>1.6302896194030556E-2</v>
      </c>
      <c r="O48" s="782"/>
      <c r="P48" s="797"/>
      <c r="Q48" s="791"/>
      <c r="R48" s="791"/>
      <c r="S48" s="794"/>
      <c r="T48" s="64"/>
      <c r="U48" s="64"/>
      <c r="V48" s="63"/>
      <c r="W48" s="64"/>
      <c r="X48" s="64"/>
      <c r="Y48" s="90"/>
    </row>
    <row r="49" spans="1:25" s="1" customFormat="1" ht="15.75" x14ac:dyDescent="0.25">
      <c r="A49" s="8"/>
      <c r="B49" s="54" t="s">
        <v>62</v>
      </c>
      <c r="C49" s="136" t="s">
        <v>63</v>
      </c>
      <c r="D49" s="137" t="s">
        <v>64</v>
      </c>
      <c r="E49" s="109" t="s">
        <v>38</v>
      </c>
      <c r="F49" s="109" t="s">
        <v>39</v>
      </c>
      <c r="G49" s="615">
        <f>'[1]FFIN2 Julho 2018'!$G$32</f>
        <v>47617076.079999998</v>
      </c>
      <c r="H49" s="141">
        <f t="shared" si="4"/>
        <v>4.5269344162887991E-2</v>
      </c>
      <c r="I49" s="426">
        <f>'[1]FFIN2 Julho 2018'!$I$32</f>
        <v>2.3400000000000001E-2</v>
      </c>
      <c r="J49" s="326"/>
      <c r="K49" s="740"/>
      <c r="L49" s="752" t="s">
        <v>40</v>
      </c>
      <c r="M49" s="428">
        <f>'[1]FFIN2 Julho 2018'!$M$32</f>
        <v>1232430690.1099999</v>
      </c>
      <c r="N49" s="119">
        <f>G49/M49</f>
        <v>3.8636717230524309E-2</v>
      </c>
      <c r="O49" s="782"/>
      <c r="P49" s="797"/>
      <c r="Q49" s="791"/>
      <c r="R49" s="791"/>
      <c r="S49" s="794"/>
      <c r="T49" s="64"/>
      <c r="U49" s="64"/>
      <c r="V49" s="63"/>
      <c r="W49" s="64"/>
      <c r="X49" s="64"/>
      <c r="Y49" s="90"/>
    </row>
    <row r="50" spans="1:25" s="1" customFormat="1" ht="15.75" x14ac:dyDescent="0.25">
      <c r="A50" s="8"/>
      <c r="B50" s="120" t="s">
        <v>62</v>
      </c>
      <c r="C50" s="136" t="s">
        <v>65</v>
      </c>
      <c r="D50" s="325" t="s">
        <v>66</v>
      </c>
      <c r="E50" s="115" t="s">
        <v>38</v>
      </c>
      <c r="F50" s="190" t="s">
        <v>39</v>
      </c>
      <c r="G50" s="616">
        <f>'[1]FFIN2 Julho 2018'!$G$33</f>
        <v>27974005.460000001</v>
      </c>
      <c r="H50" s="141">
        <f t="shared" si="4"/>
        <v>2.6594763581360325E-2</v>
      </c>
      <c r="I50" s="373">
        <f>'[1]FFIN2 Julho 2018'!$I$33</f>
        <v>1.4999999999999999E-2</v>
      </c>
      <c r="J50" s="200"/>
      <c r="K50" s="439"/>
      <c r="L50" s="748" t="s">
        <v>53</v>
      </c>
      <c r="M50" s="430">
        <f>'[1]FFIN2 Julho 2018'!$M$33</f>
        <v>541139680.02999997</v>
      </c>
      <c r="N50" s="128">
        <f>G50/M50</f>
        <v>5.1694611377323438E-2</v>
      </c>
      <c r="O50" s="782"/>
      <c r="P50" s="797"/>
      <c r="Q50" s="791"/>
      <c r="R50" s="791"/>
      <c r="S50" s="794"/>
      <c r="T50" s="64"/>
      <c r="U50" s="64"/>
      <c r="V50" s="63"/>
      <c r="W50" s="64"/>
      <c r="X50" s="64"/>
      <c r="Y50" s="90"/>
    </row>
    <row r="51" spans="1:25" s="1" customFormat="1" ht="18.75" thickBot="1" x14ac:dyDescent="0.3">
      <c r="A51" s="8">
        <v>24</v>
      </c>
      <c r="B51" s="148" t="s">
        <v>62</v>
      </c>
      <c r="C51" s="154"/>
      <c r="D51" s="332" t="s">
        <v>81</v>
      </c>
      <c r="E51" s="155" t="s">
        <v>38</v>
      </c>
      <c r="F51" s="155" t="s">
        <v>38</v>
      </c>
      <c r="G51" s="385">
        <f>'[1]FFIN2 Julho 2018'!$G$34</f>
        <v>7645136.8300000001</v>
      </c>
      <c r="H51" s="141">
        <f t="shared" si="4"/>
        <v>7.2681978571759566E-3</v>
      </c>
      <c r="I51" s="433">
        <f>'[1]FFIN2 Julho 2018'!$I$34</f>
        <v>5.3E-3</v>
      </c>
      <c r="J51" s="157"/>
      <c r="K51" s="158"/>
      <c r="L51" s="753" t="s">
        <v>71</v>
      </c>
      <c r="M51" s="437">
        <f>'[1]FFIN2 Julho 2018'!$M$34</f>
        <v>9197790011.4300003</v>
      </c>
      <c r="N51" s="161">
        <f t="shared" si="3"/>
        <v>8.3119279962898327E-4</v>
      </c>
      <c r="O51" s="783"/>
      <c r="P51" s="798"/>
      <c r="Q51" s="792"/>
      <c r="R51" s="792"/>
      <c r="S51" s="795"/>
      <c r="T51" s="64"/>
      <c r="U51" s="64"/>
      <c r="V51" s="63"/>
      <c r="W51" s="64"/>
      <c r="X51" s="64"/>
      <c r="Y51" s="90"/>
    </row>
    <row r="52" spans="1:25" s="1" customFormat="1" ht="23.25" thickBot="1" x14ac:dyDescent="0.3">
      <c r="A52" s="8"/>
      <c r="B52" s="343" t="s">
        <v>171</v>
      </c>
      <c r="C52" s="338"/>
      <c r="D52" s="341"/>
      <c r="E52" s="345"/>
      <c r="F52" s="345"/>
      <c r="G52" s="609">
        <v>0</v>
      </c>
      <c r="H52" s="328"/>
      <c r="I52" s="43"/>
      <c r="J52" s="215"/>
      <c r="K52" s="158"/>
      <c r="L52" s="331"/>
      <c r="M52" s="160"/>
      <c r="N52" s="187"/>
      <c r="O52" s="323" t="s">
        <v>60</v>
      </c>
      <c r="P52" s="322">
        <v>0</v>
      </c>
      <c r="Q52" s="172">
        <v>0.4</v>
      </c>
      <c r="R52" s="173">
        <v>0</v>
      </c>
      <c r="S52" s="569" t="s">
        <v>301</v>
      </c>
      <c r="T52" s="64"/>
      <c r="U52" s="64"/>
      <c r="V52" s="63"/>
      <c r="W52" s="64"/>
      <c r="X52" s="64"/>
      <c r="Y52" s="90"/>
    </row>
    <row r="53" spans="1:25" s="1" customFormat="1" ht="18.75" thickBot="1" x14ac:dyDescent="0.3">
      <c r="A53" s="8"/>
      <c r="B53" s="343" t="s">
        <v>173</v>
      </c>
      <c r="C53" s="338"/>
      <c r="D53" s="339"/>
      <c r="E53" s="345"/>
      <c r="F53" s="345"/>
      <c r="G53" s="609">
        <v>0</v>
      </c>
      <c r="H53" s="215"/>
      <c r="I53" s="43"/>
      <c r="J53" s="215"/>
      <c r="K53" s="158"/>
      <c r="L53" s="331"/>
      <c r="M53" s="160"/>
      <c r="N53" s="156"/>
      <c r="O53" s="410" t="s">
        <v>60</v>
      </c>
      <c r="P53" s="322">
        <v>0</v>
      </c>
      <c r="Q53" s="173">
        <v>0.2</v>
      </c>
      <c r="R53" s="96">
        <v>0</v>
      </c>
      <c r="S53" s="174" t="s">
        <v>174</v>
      </c>
      <c r="T53" s="64"/>
      <c r="U53" s="64"/>
      <c r="V53" s="63"/>
      <c r="W53" s="64"/>
      <c r="X53" s="64"/>
      <c r="Y53" s="90"/>
    </row>
    <row r="54" spans="1:25" s="1" customFormat="1" ht="23.25" thickBot="1" x14ac:dyDescent="0.3">
      <c r="A54" s="8"/>
      <c r="B54" s="343" t="s">
        <v>175</v>
      </c>
      <c r="C54" s="338"/>
      <c r="D54" s="339"/>
      <c r="E54" s="345"/>
      <c r="F54" s="345"/>
      <c r="G54" s="611">
        <v>0</v>
      </c>
      <c r="H54" s="215"/>
      <c r="I54" s="43"/>
      <c r="J54" s="215"/>
      <c r="K54" s="158"/>
      <c r="L54" s="331"/>
      <c r="M54" s="160"/>
      <c r="N54" s="156"/>
      <c r="O54" s="311" t="s">
        <v>60</v>
      </c>
      <c r="P54" s="322">
        <v>0</v>
      </c>
      <c r="Q54" s="172">
        <v>0.15</v>
      </c>
      <c r="R54" s="173">
        <v>0</v>
      </c>
      <c r="S54" s="569" t="s">
        <v>302</v>
      </c>
      <c r="T54" s="64"/>
      <c r="U54" s="64"/>
      <c r="V54" s="63"/>
      <c r="W54" s="64"/>
      <c r="X54" s="64"/>
      <c r="Y54" s="90"/>
    </row>
    <row r="55" spans="1:25" s="1" customFormat="1" ht="23.25" thickBot="1" x14ac:dyDescent="0.3">
      <c r="A55" s="8"/>
      <c r="B55" s="343" t="s">
        <v>176</v>
      </c>
      <c r="C55" s="338"/>
      <c r="D55" s="339"/>
      <c r="E55" s="345"/>
      <c r="F55" s="345"/>
      <c r="G55" s="611">
        <v>0</v>
      </c>
      <c r="H55" s="215"/>
      <c r="I55" s="43"/>
      <c r="J55" s="215"/>
      <c r="K55" s="158"/>
      <c r="L55" s="331"/>
      <c r="M55" s="160"/>
      <c r="N55" s="156"/>
      <c r="O55" s="311" t="s">
        <v>60</v>
      </c>
      <c r="P55" s="571">
        <v>0</v>
      </c>
      <c r="Q55" s="95">
        <v>0.15</v>
      </c>
      <c r="R55" s="173">
        <v>0</v>
      </c>
      <c r="S55" s="569" t="s">
        <v>303</v>
      </c>
      <c r="T55" s="64"/>
      <c r="U55" s="64"/>
      <c r="V55" s="63"/>
      <c r="W55" s="64"/>
      <c r="X55" s="64"/>
      <c r="Y55" s="90"/>
    </row>
    <row r="56" spans="1:25" s="53" customFormat="1" ht="18.75" thickBot="1" x14ac:dyDescent="0.25">
      <c r="A56" s="40"/>
      <c r="B56" s="334" t="s">
        <v>177</v>
      </c>
      <c r="C56" s="335"/>
      <c r="D56" s="336"/>
      <c r="E56" s="336"/>
      <c r="F56" s="336"/>
      <c r="G56" s="582">
        <f>SUM(G57:G59)</f>
        <v>7261012.3200000003</v>
      </c>
      <c r="H56" s="43">
        <f>G56/$G$97</f>
        <v>6.9030123801135717E-3</v>
      </c>
      <c r="I56" s="91"/>
      <c r="J56" s="44"/>
      <c r="K56" s="44"/>
      <c r="L56" s="162"/>
      <c r="M56" s="163"/>
      <c r="N56" s="164"/>
      <c r="O56" s="165"/>
      <c r="P56" s="166"/>
      <c r="Q56" s="730"/>
      <c r="R56" s="731"/>
      <c r="S56" s="133"/>
      <c r="T56" s="52"/>
      <c r="U56" s="52"/>
      <c r="V56" s="52"/>
      <c r="W56" s="52"/>
      <c r="X56" s="52"/>
      <c r="Y56" s="52"/>
    </row>
    <row r="57" spans="1:25" s="1" customFormat="1" ht="18.75" thickBot="1" x14ac:dyDescent="0.3">
      <c r="A57" s="8">
        <v>25</v>
      </c>
      <c r="B57" s="66" t="s">
        <v>82</v>
      </c>
      <c r="C57" s="108"/>
      <c r="D57" s="134" t="s">
        <v>83</v>
      </c>
      <c r="E57" s="438" t="s">
        <v>84</v>
      </c>
      <c r="F57" s="438" t="s">
        <v>85</v>
      </c>
      <c r="G57" s="588">
        <f>'[1]FFIN2 Julho 2018'!$G$40</f>
        <v>7185505.3899999997</v>
      </c>
      <c r="H57" s="191">
        <f>G57/$G$97</f>
        <v>6.8312282748671594E-3</v>
      </c>
      <c r="I57" s="426">
        <f>'[1]FFIN2 Julho 2018'!$I$40</f>
        <v>6.4000000000000003E-3</v>
      </c>
      <c r="J57" s="200"/>
      <c r="K57" s="439"/>
      <c r="L57" s="113" t="s">
        <v>71</v>
      </c>
      <c r="M57" s="444">
        <f>'[1]FFIN2 Julho 2018'!$M$40</f>
        <v>561811070.22000003</v>
      </c>
      <c r="N57" s="441">
        <f>G57/M57</f>
        <v>1.278989640981304E-2</v>
      </c>
      <c r="O57" s="799" t="s">
        <v>60</v>
      </c>
      <c r="P57" s="796">
        <f>SUM(G57:G59)/G97</f>
        <v>6.9030123801135717E-3</v>
      </c>
      <c r="Q57" s="790">
        <v>0.05</v>
      </c>
      <c r="R57" s="778">
        <v>0.02</v>
      </c>
      <c r="S57" s="793" t="s">
        <v>304</v>
      </c>
      <c r="T57" s="64"/>
      <c r="U57" s="64"/>
      <c r="V57" s="64"/>
      <c r="W57" s="64"/>
      <c r="X57" s="63"/>
      <c r="Y57" s="65"/>
    </row>
    <row r="58" spans="1:25" s="1" customFormat="1" ht="15.75" customHeight="1" x14ac:dyDescent="0.25">
      <c r="A58" s="8">
        <v>26</v>
      </c>
      <c r="B58" s="54" t="s">
        <v>86</v>
      </c>
      <c r="C58" s="98" t="s">
        <v>87</v>
      </c>
      <c r="D58" s="56" t="s">
        <v>88</v>
      </c>
      <c r="E58" s="109" t="s">
        <v>89</v>
      </c>
      <c r="F58" s="109" t="s">
        <v>89</v>
      </c>
      <c r="G58" s="584">
        <f>'[1]FFIN2 Julho 2018'!$G$41</f>
        <v>35398.03</v>
      </c>
      <c r="H58" s="191">
        <f>G58/$G$97</f>
        <v>3.3652750959887037E-5</v>
      </c>
      <c r="I58" s="442">
        <f>'[1]FFIN2 Julho 2018'!$I$41</f>
        <v>-5.7799999999999997E-2</v>
      </c>
      <c r="J58" s="111"/>
      <c r="K58" s="440"/>
      <c r="L58" s="118" t="s">
        <v>71</v>
      </c>
      <c r="M58" s="445">
        <f>'[1]FFIN2 Julho 2018'!$M$41</f>
        <v>825955.52</v>
      </c>
      <c r="N58" s="119">
        <f>G58/M58</f>
        <v>4.2857065717049746E-2</v>
      </c>
      <c r="O58" s="800"/>
      <c r="P58" s="797"/>
      <c r="Q58" s="791"/>
      <c r="R58" s="779"/>
      <c r="S58" s="794"/>
      <c r="T58" s="64"/>
      <c r="U58" s="64"/>
      <c r="V58" s="63"/>
      <c r="W58" s="64"/>
      <c r="X58" s="63"/>
      <c r="Y58" s="65"/>
    </row>
    <row r="59" spans="1:25" s="1" customFormat="1" ht="18.75" thickBot="1" x14ac:dyDescent="0.3">
      <c r="A59" s="8">
        <v>27</v>
      </c>
      <c r="B59" s="167" t="s">
        <v>90</v>
      </c>
      <c r="C59" s="108"/>
      <c r="D59" s="87" t="s">
        <v>91</v>
      </c>
      <c r="E59" s="168" t="s">
        <v>89</v>
      </c>
      <c r="F59" s="168" t="s">
        <v>89</v>
      </c>
      <c r="G59" s="589">
        <f>'[1]FFIN2 Julho 2018'!$G$42</f>
        <v>40108.9</v>
      </c>
      <c r="H59" s="191">
        <f>G59/$G$97</f>
        <v>3.8131354286524229E-5</v>
      </c>
      <c r="I59" s="443">
        <f>'[1]FFIN2 Julho 2018'!$I$42</f>
        <v>-4.24E-2</v>
      </c>
      <c r="J59" s="138"/>
      <c r="K59" s="175"/>
      <c r="L59" s="159" t="s">
        <v>71</v>
      </c>
      <c r="M59" s="446">
        <f>'[1]FFIN2 Julho 2018'!$M$42</f>
        <v>2293510.33</v>
      </c>
      <c r="N59" s="161">
        <f>G59/M59</f>
        <v>1.7487996228035301E-2</v>
      </c>
      <c r="O59" s="801"/>
      <c r="P59" s="798"/>
      <c r="Q59" s="792"/>
      <c r="R59" s="780"/>
      <c r="S59" s="795"/>
      <c r="T59" s="64"/>
      <c r="U59" s="64"/>
      <c r="V59" s="63"/>
      <c r="W59" s="64"/>
      <c r="X59" s="63"/>
      <c r="Y59" s="65"/>
    </row>
    <row r="60" spans="1:25" s="1" customFormat="1" ht="23.25" thickBot="1" x14ac:dyDescent="0.3">
      <c r="A60" s="8"/>
      <c r="B60" s="346" t="s">
        <v>178</v>
      </c>
      <c r="C60" s="338"/>
      <c r="D60" s="347"/>
      <c r="E60" s="345"/>
      <c r="F60" s="345"/>
      <c r="G60" s="625">
        <v>0</v>
      </c>
      <c r="H60" s="215"/>
      <c r="I60" s="333"/>
      <c r="J60" s="215"/>
      <c r="K60" s="158"/>
      <c r="L60" s="331"/>
      <c r="M60" s="160"/>
      <c r="N60" s="187"/>
      <c r="O60" s="327" t="s">
        <v>60</v>
      </c>
      <c r="P60" s="322">
        <v>0</v>
      </c>
      <c r="Q60" s="172">
        <v>0.05</v>
      </c>
      <c r="R60" s="173">
        <v>0.01</v>
      </c>
      <c r="S60" s="734" t="s">
        <v>305</v>
      </c>
      <c r="T60" s="64"/>
      <c r="U60" s="64"/>
      <c r="V60" s="63"/>
      <c r="W60" s="64"/>
      <c r="X60" s="63"/>
      <c r="Y60" s="65"/>
    </row>
    <row r="61" spans="1:25" s="1" customFormat="1" ht="23.25" thickBot="1" x14ac:dyDescent="0.3">
      <c r="A61" s="8"/>
      <c r="B61" s="346" t="s">
        <v>179</v>
      </c>
      <c r="C61" s="338"/>
      <c r="D61" s="347"/>
      <c r="E61" s="345"/>
      <c r="F61" s="345"/>
      <c r="G61" s="625">
        <v>0</v>
      </c>
      <c r="H61" s="215"/>
      <c r="I61" s="333"/>
      <c r="J61" s="215"/>
      <c r="K61" s="158"/>
      <c r="L61" s="331"/>
      <c r="M61" s="160"/>
      <c r="N61" s="215"/>
      <c r="O61" s="327" t="s">
        <v>60</v>
      </c>
      <c r="P61" s="322">
        <v>0</v>
      </c>
      <c r="Q61" s="172">
        <v>0.05</v>
      </c>
      <c r="R61" s="173">
        <v>0</v>
      </c>
      <c r="S61" s="734" t="s">
        <v>306</v>
      </c>
      <c r="T61" s="64"/>
      <c r="U61" s="64"/>
      <c r="V61" s="63"/>
      <c r="W61" s="64"/>
      <c r="X61" s="63"/>
      <c r="Y61" s="65"/>
    </row>
    <row r="62" spans="1:25" s="53" customFormat="1" ht="18.75" thickBot="1" x14ac:dyDescent="0.25">
      <c r="A62" s="40"/>
      <c r="B62" s="334" t="s">
        <v>180</v>
      </c>
      <c r="C62" s="335"/>
      <c r="D62" s="336"/>
      <c r="E62" s="336"/>
      <c r="F62" s="336"/>
      <c r="G62" s="582">
        <f>SUM(G63:G64)</f>
        <v>59699030.150000006</v>
      </c>
      <c r="H62" s="43">
        <f t="shared" ref="H62:H77" si="5">G62/$G$97</f>
        <v>5.6755604596773826E-2</v>
      </c>
      <c r="I62" s="91"/>
      <c r="J62" s="44"/>
      <c r="K62" s="44"/>
      <c r="L62" s="44"/>
      <c r="M62" s="130"/>
      <c r="N62" s="94"/>
      <c r="O62" s="42"/>
      <c r="P62" s="176">
        <f>SUM((G4+G17+G35+G38+G56)/G97)*100</f>
        <v>82.640291138057677</v>
      </c>
      <c r="Q62" s="49"/>
      <c r="R62" s="730"/>
      <c r="S62" s="140"/>
      <c r="T62" s="52"/>
      <c r="U62" s="52"/>
      <c r="V62" s="52"/>
      <c r="W62" s="52"/>
      <c r="X62" s="52"/>
      <c r="Y62" s="52"/>
    </row>
    <row r="63" spans="1:25" s="1" customFormat="1" ht="18" customHeight="1" x14ac:dyDescent="0.25">
      <c r="A63" s="8">
        <v>28</v>
      </c>
      <c r="B63" s="177" t="s">
        <v>55</v>
      </c>
      <c r="C63" s="178"/>
      <c r="D63" s="179" t="s">
        <v>92</v>
      </c>
      <c r="E63" s="180" t="s">
        <v>93</v>
      </c>
      <c r="F63" s="180" t="s">
        <v>94</v>
      </c>
      <c r="G63" s="457">
        <f>'[1]FFIN2 Julho 2018'!$G$46</f>
        <v>36744289.950000003</v>
      </c>
      <c r="H63" s="78">
        <f t="shared" si="5"/>
        <v>3.4932634355223445E-2</v>
      </c>
      <c r="I63" s="447">
        <f>'[1]FFIN2 Julho 2018'!$I$46</f>
        <v>7.0999999999999994E-2</v>
      </c>
      <c r="J63" s="103"/>
      <c r="K63" s="112"/>
      <c r="L63" s="127" t="s">
        <v>95</v>
      </c>
      <c r="M63" s="449">
        <f>'[1]FFIN2 Julho 2018'!$M$46</f>
        <v>721542576.35000002</v>
      </c>
      <c r="N63" s="135">
        <f t="shared" ref="N63:N64" si="6">G63/M63</f>
        <v>5.0924631691001393E-2</v>
      </c>
      <c r="O63" s="818" t="s">
        <v>96</v>
      </c>
      <c r="P63" s="805">
        <f>(SUM(G63:G64)/G97)</f>
        <v>5.6755604596773826E-2</v>
      </c>
      <c r="Q63" s="790">
        <v>0.3</v>
      </c>
      <c r="R63" s="787">
        <v>0.15</v>
      </c>
      <c r="S63" s="793" t="s">
        <v>307</v>
      </c>
      <c r="T63" s="64"/>
      <c r="U63" s="64"/>
      <c r="V63" s="63"/>
      <c r="W63" s="64"/>
      <c r="X63" s="64"/>
      <c r="Y63" s="182"/>
    </row>
    <row r="64" spans="1:25" s="1" customFormat="1" ht="18.75" thickBot="1" x14ac:dyDescent="0.3">
      <c r="A64" s="8"/>
      <c r="B64" s="209" t="s">
        <v>116</v>
      </c>
      <c r="C64" s="87" t="s">
        <v>100</v>
      </c>
      <c r="D64" s="633" t="s">
        <v>320</v>
      </c>
      <c r="E64" s="110" t="s">
        <v>39</v>
      </c>
      <c r="F64" s="110" t="s">
        <v>94</v>
      </c>
      <c r="G64" s="591">
        <f>'[1]FFIN2 Julho 2018'!$G$47</f>
        <v>22954740.199999999</v>
      </c>
      <c r="H64" s="78">
        <f t="shared" si="5"/>
        <v>2.1822970241550377E-2</v>
      </c>
      <c r="I64" s="367">
        <f>'[1]FFIN2 Julho 2018'!$I$47</f>
        <v>1.7100000000000001E-2</v>
      </c>
      <c r="J64" s="146"/>
      <c r="K64" s="405"/>
      <c r="L64" s="211" t="s">
        <v>321</v>
      </c>
      <c r="M64" s="640">
        <f>'[1]FFIN2 Julho 2018'!$M$47</f>
        <v>367763007.69</v>
      </c>
      <c r="N64" s="378">
        <f t="shared" si="6"/>
        <v>6.2417208147670288E-2</v>
      </c>
      <c r="O64" s="820"/>
      <c r="P64" s="807"/>
      <c r="Q64" s="792"/>
      <c r="R64" s="789"/>
      <c r="S64" s="795"/>
      <c r="T64" s="64"/>
      <c r="U64" s="64"/>
      <c r="V64" s="63"/>
      <c r="W64" s="64"/>
      <c r="X64" s="64"/>
      <c r="Y64" s="182"/>
    </row>
    <row r="65" spans="1:25" s="1" customFormat="1" ht="18.75" thickBot="1" x14ac:dyDescent="0.3">
      <c r="A65" s="185"/>
      <c r="B65" s="334" t="s">
        <v>182</v>
      </c>
      <c r="C65" s="335"/>
      <c r="D65" s="336"/>
      <c r="E65" s="336"/>
      <c r="F65" s="336"/>
      <c r="G65" s="582">
        <f>SUM(G66)</f>
        <v>0</v>
      </c>
      <c r="H65" s="187">
        <f t="shared" si="5"/>
        <v>0</v>
      </c>
      <c r="I65" s="91"/>
      <c r="J65" s="44"/>
      <c r="K65" s="44"/>
      <c r="L65" s="44"/>
      <c r="M65" s="130"/>
      <c r="N65" s="131"/>
      <c r="O65" s="42"/>
      <c r="P65" s="166"/>
      <c r="Q65" s="49"/>
      <c r="R65" s="730"/>
      <c r="S65" s="140"/>
      <c r="T65" s="64"/>
      <c r="U65" s="64"/>
      <c r="V65" s="63"/>
      <c r="W65" s="64"/>
      <c r="X65" s="64"/>
      <c r="Y65" s="182"/>
    </row>
    <row r="66" spans="1:25" s="1" customFormat="1" ht="23.25" thickBot="1" x14ac:dyDescent="0.3">
      <c r="A66" s="185">
        <v>31</v>
      </c>
      <c r="B66" s="188" t="s">
        <v>50</v>
      </c>
      <c r="C66" s="108"/>
      <c r="D66" s="189" t="s">
        <v>101</v>
      </c>
      <c r="E66" s="190" t="s">
        <v>39</v>
      </c>
      <c r="F66" s="115" t="s">
        <v>49</v>
      </c>
      <c r="G66" s="627">
        <f>'[1]FFIN2 Julho 2018'!$G$49</f>
        <v>0</v>
      </c>
      <c r="H66" s="191">
        <f t="shared" si="5"/>
        <v>0</v>
      </c>
      <c r="I66" s="71">
        <f>'[1]FFIN2 Julho 2018'!$I$49</f>
        <v>0</v>
      </c>
      <c r="J66" s="146"/>
      <c r="K66" s="192"/>
      <c r="L66" s="127" t="s">
        <v>95</v>
      </c>
      <c r="M66" s="626">
        <f>'[1]FFIN2 Julho 2018'!$M$49</f>
        <v>0</v>
      </c>
      <c r="N66" s="441" t="e">
        <f>G66/M66</f>
        <v>#DIV/0!</v>
      </c>
      <c r="O66" s="193" t="s">
        <v>102</v>
      </c>
      <c r="P66" s="194">
        <f>G66/G97</f>
        <v>0</v>
      </c>
      <c r="Q66" s="195">
        <v>0.3</v>
      </c>
      <c r="R66" s="196">
        <v>0.02</v>
      </c>
      <c r="S66" s="734" t="s">
        <v>308</v>
      </c>
      <c r="T66" s="64"/>
      <c r="U66" s="64"/>
      <c r="V66" s="63"/>
      <c r="W66" s="64"/>
      <c r="X66" s="64"/>
      <c r="Y66" s="182"/>
    </row>
    <row r="67" spans="1:25" s="53" customFormat="1" ht="18.75" thickBot="1" x14ac:dyDescent="0.25">
      <c r="A67" s="40"/>
      <c r="B67" s="334" t="s">
        <v>181</v>
      </c>
      <c r="C67" s="335"/>
      <c r="D67" s="336"/>
      <c r="E67" s="336"/>
      <c r="F67" s="336"/>
      <c r="G67" s="582">
        <f>SUM(G68:G77)</f>
        <v>86259743.340000004</v>
      </c>
      <c r="H67" s="43">
        <f t="shared" si="5"/>
        <v>8.200675745189194E-2</v>
      </c>
      <c r="I67" s="91"/>
      <c r="J67" s="29"/>
      <c r="K67" s="44"/>
      <c r="L67" s="44"/>
      <c r="M67" s="130"/>
      <c r="N67" s="131"/>
      <c r="O67" s="165"/>
      <c r="P67" s="730"/>
      <c r="Q67" s="49"/>
      <c r="R67" s="730"/>
      <c r="S67" s="140"/>
      <c r="T67" s="52"/>
      <c r="U67" s="52"/>
      <c r="V67" s="52"/>
      <c r="W67" s="52"/>
      <c r="X67" s="52"/>
      <c r="Y67" s="52"/>
    </row>
    <row r="68" spans="1:25" s="1" customFormat="1" ht="18" x14ac:dyDescent="0.25">
      <c r="A68" s="8">
        <v>34</v>
      </c>
      <c r="B68" s="54" t="s">
        <v>107</v>
      </c>
      <c r="C68" s="197"/>
      <c r="D68" s="68" t="s">
        <v>108</v>
      </c>
      <c r="E68" s="124" t="s">
        <v>39</v>
      </c>
      <c r="F68" s="124" t="s">
        <v>49</v>
      </c>
      <c r="G68" s="384">
        <f>'[1]FFIN2 Julho 2018'!$G$51</f>
        <v>9328025.0399999991</v>
      </c>
      <c r="H68" s="78">
        <f t="shared" si="5"/>
        <v>8.8681122542330817E-3</v>
      </c>
      <c r="I68" s="376">
        <f>'[1]FFIN2 Julho 2018'!$I$51</f>
        <v>7.9500000000000001E-2</v>
      </c>
      <c r="J68" s="181"/>
      <c r="K68" s="152"/>
      <c r="L68" s="113" t="s">
        <v>95</v>
      </c>
      <c r="M68" s="455">
        <f>'[1]FFIN2 Julho 2018'!$M$51</f>
        <v>210313583.22999999</v>
      </c>
      <c r="N68" s="78">
        <f>G68/M68</f>
        <v>4.4352936680265791E-2</v>
      </c>
      <c r="O68" s="802" t="s">
        <v>102</v>
      </c>
      <c r="P68" s="785">
        <f>SUM(G68:G77)/G97</f>
        <v>8.200675745189194E-2</v>
      </c>
      <c r="Q68" s="790">
        <v>0.2</v>
      </c>
      <c r="R68" s="791">
        <v>0.15</v>
      </c>
      <c r="S68" s="816" t="s">
        <v>309</v>
      </c>
      <c r="T68" s="634"/>
      <c r="U68" s="64"/>
      <c r="V68" s="63"/>
      <c r="W68" s="64"/>
      <c r="X68" s="64"/>
      <c r="Y68" s="182"/>
    </row>
    <row r="69" spans="1:25" s="1" customFormat="1" ht="18" x14ac:dyDescent="0.25">
      <c r="A69" s="8"/>
      <c r="B69" s="54" t="s">
        <v>107</v>
      </c>
      <c r="C69" s="197"/>
      <c r="D69" s="68" t="s">
        <v>346</v>
      </c>
      <c r="E69" s="124" t="s">
        <v>347</v>
      </c>
      <c r="F69" s="124" t="s">
        <v>348</v>
      </c>
      <c r="G69" s="384">
        <f>'[1]FFIN2 Julho 2018'!$G$52</f>
        <v>6360412.2300000004</v>
      </c>
      <c r="H69" s="78">
        <f t="shared" si="5"/>
        <v>6.0468158476166545E-3</v>
      </c>
      <c r="I69" s="376">
        <f>'[1]FFIN2 Julho 2018'!$I$52</f>
        <v>6.2300000000000001E-2</v>
      </c>
      <c r="J69" s="181"/>
      <c r="K69" s="152"/>
      <c r="L69" s="113" t="s">
        <v>95</v>
      </c>
      <c r="M69" s="455">
        <f>'[1]FFIN2 Julho 2018'!$M$52</f>
        <v>833064712.66999996</v>
      </c>
      <c r="N69" s="78">
        <f t="shared" ref="N69:N75" si="7">G69/M69</f>
        <v>7.6349557642582996E-3</v>
      </c>
      <c r="O69" s="802"/>
      <c r="P69" s="785"/>
      <c r="Q69" s="791"/>
      <c r="R69" s="791"/>
      <c r="S69" s="817"/>
      <c r="T69" s="634"/>
      <c r="U69" s="64"/>
      <c r="V69" s="63"/>
      <c r="W69" s="64"/>
      <c r="X69" s="64"/>
      <c r="Y69" s="182"/>
    </row>
    <row r="70" spans="1:25" s="1" customFormat="1" ht="18" x14ac:dyDescent="0.25">
      <c r="A70" s="8"/>
      <c r="B70" s="54" t="s">
        <v>349</v>
      </c>
      <c r="C70" s="197"/>
      <c r="D70" s="68" t="s">
        <v>346</v>
      </c>
      <c r="E70" s="124" t="s">
        <v>347</v>
      </c>
      <c r="F70" s="124" t="s">
        <v>348</v>
      </c>
      <c r="G70" s="384">
        <f>'[2]FFPREV Julho 2018'!$G$38</f>
        <v>3816247.34</v>
      </c>
      <c r="H70" s="78">
        <f t="shared" si="5"/>
        <v>3.6280895104713832E-3</v>
      </c>
      <c r="I70" s="376">
        <f>'[2]FFPREV Julho 2018'!$I$38</f>
        <v>6.2300000000000001E-2</v>
      </c>
      <c r="J70" s="181"/>
      <c r="K70" s="152"/>
      <c r="L70" s="113" t="s">
        <v>95</v>
      </c>
      <c r="M70" s="455">
        <f>'[2]FFPREV Julho 2018'!$M$38</f>
        <v>833064712.66999996</v>
      </c>
      <c r="N70" s="78">
        <f t="shared" si="7"/>
        <v>4.5809734609557531E-3</v>
      </c>
      <c r="O70" s="802"/>
      <c r="P70" s="785"/>
      <c r="Q70" s="791"/>
      <c r="R70" s="791"/>
      <c r="S70" s="817"/>
      <c r="T70" s="634"/>
      <c r="U70" s="64"/>
      <c r="V70" s="63"/>
      <c r="W70" s="64"/>
      <c r="X70" s="64"/>
      <c r="Y70" s="182"/>
    </row>
    <row r="71" spans="1:25" s="1" customFormat="1" ht="19.5" thickBot="1" x14ac:dyDescent="0.3">
      <c r="A71" s="8"/>
      <c r="B71" s="107" t="s">
        <v>113</v>
      </c>
      <c r="C71" s="67" t="s">
        <v>114</v>
      </c>
      <c r="D71" s="68" t="s">
        <v>115</v>
      </c>
      <c r="E71" s="124" t="s">
        <v>39</v>
      </c>
      <c r="F71" s="124" t="s">
        <v>49</v>
      </c>
      <c r="G71" s="364">
        <f>'[1]FFIN2 Julho 2018'!$G$53</f>
        <v>22560688.949999999</v>
      </c>
      <c r="H71" s="78">
        <f t="shared" si="5"/>
        <v>2.1448347456562565E-2</v>
      </c>
      <c r="I71" s="358">
        <f>'[1]FFIN2 Julho 2018'!$I$53</f>
        <v>6.5799999999999997E-2</v>
      </c>
      <c r="J71" s="181"/>
      <c r="K71" s="206"/>
      <c r="L71" s="113" t="s">
        <v>95</v>
      </c>
      <c r="M71" s="451">
        <f>'[1]FFIN2 Julho 2018'!$M$53</f>
        <v>223499749.59</v>
      </c>
      <c r="N71" s="70">
        <f t="shared" si="7"/>
        <v>0.10094279296234802</v>
      </c>
      <c r="O71" s="802"/>
      <c r="P71" s="785"/>
      <c r="Q71" s="791"/>
      <c r="R71" s="791"/>
      <c r="S71" s="817"/>
      <c r="T71" s="634"/>
      <c r="U71" s="64"/>
      <c r="V71" s="63"/>
      <c r="W71" s="64"/>
      <c r="X71" s="64"/>
      <c r="Y71" s="182"/>
    </row>
    <row r="72" spans="1:25" s="1" customFormat="1" ht="18" x14ac:dyDescent="0.25">
      <c r="A72" s="8"/>
      <c r="B72" s="54" t="s">
        <v>75</v>
      </c>
      <c r="C72" s="197"/>
      <c r="D72" s="68" t="s">
        <v>103</v>
      </c>
      <c r="E72" s="124" t="s">
        <v>104</v>
      </c>
      <c r="F72" s="124" t="s">
        <v>105</v>
      </c>
      <c r="G72" s="384">
        <f>'[1]FFIN2 Julho 2018'!$G$54</f>
        <v>19966932.48</v>
      </c>
      <c r="H72" s="78">
        <f t="shared" si="5"/>
        <v>1.8982474623088337E-2</v>
      </c>
      <c r="I72" s="376">
        <f>'[1]FFIN2 Julho 2018'!$I$54</f>
        <v>1.9599999999999999E-2</v>
      </c>
      <c r="J72" s="151"/>
      <c r="K72" s="198"/>
      <c r="L72" s="118" t="s">
        <v>95</v>
      </c>
      <c r="M72" s="452">
        <f>'[1]FFIN2 Julho 2018'!$M$54</f>
        <v>610160821.70000005</v>
      </c>
      <c r="N72" s="78">
        <f t="shared" si="7"/>
        <v>3.272404875876677E-2</v>
      </c>
      <c r="O72" s="802"/>
      <c r="P72" s="785"/>
      <c r="Q72" s="791"/>
      <c r="R72" s="791"/>
      <c r="S72" s="817"/>
      <c r="T72" s="634"/>
      <c r="U72" s="64"/>
      <c r="V72" s="63"/>
      <c r="W72" s="64"/>
      <c r="X72" s="64"/>
      <c r="Y72" s="182"/>
    </row>
    <row r="73" spans="1:25" s="1" customFormat="1" ht="18" x14ac:dyDescent="0.25">
      <c r="A73" s="8"/>
      <c r="B73" s="54" t="s">
        <v>75</v>
      </c>
      <c r="C73" s="197"/>
      <c r="D73" s="68" t="s">
        <v>106</v>
      </c>
      <c r="E73" s="124" t="s">
        <v>39</v>
      </c>
      <c r="F73" s="124" t="s">
        <v>49</v>
      </c>
      <c r="G73" s="384">
        <f>'[1]FFIN2 Julho 2018'!$G$55</f>
        <v>2698216.91</v>
      </c>
      <c r="H73" s="78">
        <f t="shared" si="5"/>
        <v>2.5651829129470184E-3</v>
      </c>
      <c r="I73" s="376">
        <f>'[1]FFIN2 Julho 2018'!$I$55</f>
        <v>7.3899999999999993E-2</v>
      </c>
      <c r="J73" s="200"/>
      <c r="K73" s="201"/>
      <c r="L73" s="202" t="s">
        <v>95</v>
      </c>
      <c r="M73" s="434">
        <f>'[1]FFIN2 Julho 2018'!$M$55</f>
        <v>531813980.95999998</v>
      </c>
      <c r="N73" s="119">
        <f t="shared" si="7"/>
        <v>5.0736103348192054E-3</v>
      </c>
      <c r="O73" s="802"/>
      <c r="P73" s="785"/>
      <c r="Q73" s="791"/>
      <c r="R73" s="791"/>
      <c r="S73" s="817"/>
      <c r="T73" s="634"/>
      <c r="U73" s="64"/>
      <c r="V73" s="63"/>
      <c r="W73" s="64"/>
      <c r="X73" s="64"/>
      <c r="Y73" s="182"/>
    </row>
    <row r="74" spans="1:25" s="1" customFormat="1" ht="18" x14ac:dyDescent="0.25">
      <c r="A74" s="8"/>
      <c r="B74" s="54" t="s">
        <v>206</v>
      </c>
      <c r="C74" s="197"/>
      <c r="D74" s="68" t="s">
        <v>103</v>
      </c>
      <c r="E74" s="124" t="s">
        <v>104</v>
      </c>
      <c r="F74" s="124" t="s">
        <v>105</v>
      </c>
      <c r="G74" s="384">
        <f>'[2]FFPREV Julho 2018'!$G$39</f>
        <v>6964078</v>
      </c>
      <c r="H74" s="78">
        <f t="shared" si="5"/>
        <v>6.6207182320380028E-3</v>
      </c>
      <c r="I74" s="376">
        <f>'[2]FFPREV Julho 2018'!$I$39</f>
        <v>1.9599999999999999E-2</v>
      </c>
      <c r="J74" s="181"/>
      <c r="K74" s="388"/>
      <c r="L74" s="387" t="s">
        <v>207</v>
      </c>
      <c r="M74" s="453">
        <f>'[2]FFPREV Julho 2018'!$M$39</f>
        <v>610160821.70000005</v>
      </c>
      <c r="N74" s="389">
        <f t="shared" si="7"/>
        <v>1.1413512228787533E-2</v>
      </c>
      <c r="O74" s="802"/>
      <c r="P74" s="785"/>
      <c r="Q74" s="791"/>
      <c r="R74" s="791"/>
      <c r="S74" s="817"/>
      <c r="T74" s="634"/>
      <c r="U74" s="64"/>
      <c r="V74" s="63"/>
      <c r="W74" s="64"/>
      <c r="X74" s="64"/>
      <c r="Y74" s="182"/>
    </row>
    <row r="75" spans="1:25" s="1" customFormat="1" ht="18" x14ac:dyDescent="0.25">
      <c r="A75" s="8"/>
      <c r="B75" s="54" t="s">
        <v>206</v>
      </c>
      <c r="C75" s="197"/>
      <c r="D75" s="68" t="s">
        <v>208</v>
      </c>
      <c r="E75" s="124" t="s">
        <v>39</v>
      </c>
      <c r="F75" s="124" t="s">
        <v>49</v>
      </c>
      <c r="G75" s="384">
        <f>'[2]FFPREV Julho 2018'!$G$40</f>
        <v>3900590.36</v>
      </c>
      <c r="H75" s="78">
        <f t="shared" si="5"/>
        <v>3.7082740474997087E-3</v>
      </c>
      <c r="I75" s="376">
        <f>'[2]FFPREV Julho 2018'!$I$40</f>
        <v>7.3899999999999993E-2</v>
      </c>
      <c r="J75" s="181"/>
      <c r="K75" s="390"/>
      <c r="L75" s="387" t="s">
        <v>95</v>
      </c>
      <c r="M75" s="453">
        <f>'[2]FFPREV Julho 2018'!$M$40</f>
        <v>531813980.95999998</v>
      </c>
      <c r="N75" s="389">
        <f t="shared" si="7"/>
        <v>7.3345013475555471E-3</v>
      </c>
      <c r="O75" s="802"/>
      <c r="P75" s="785"/>
      <c r="Q75" s="791"/>
      <c r="R75" s="791"/>
      <c r="S75" s="817"/>
      <c r="T75" s="634"/>
      <c r="U75" s="64"/>
      <c r="V75" s="63"/>
      <c r="W75" s="64"/>
      <c r="X75" s="64"/>
      <c r="Y75" s="182"/>
    </row>
    <row r="76" spans="1:25" s="1" customFormat="1" ht="18.75" thickBot="1" x14ac:dyDescent="0.3">
      <c r="A76" s="8">
        <v>35</v>
      </c>
      <c r="B76" s="177" t="s">
        <v>50</v>
      </c>
      <c r="C76" s="108"/>
      <c r="D76" s="184" t="s">
        <v>109</v>
      </c>
      <c r="E76" s="110" t="s">
        <v>110</v>
      </c>
      <c r="F76" s="110" t="s">
        <v>111</v>
      </c>
      <c r="G76" s="591">
        <f>'[1]FFIN2 Julho 2018'!$G$56</f>
        <v>6431602.0499999998</v>
      </c>
      <c r="H76" s="78">
        <f t="shared" si="5"/>
        <v>6.1144956954313255E-3</v>
      </c>
      <c r="I76" s="358">
        <f>'[1]FFIN2 Julho 2018'!$I$56</f>
        <v>4.9200000000000001E-2</v>
      </c>
      <c r="J76" s="116"/>
      <c r="K76" s="198"/>
      <c r="L76" s="392" t="s">
        <v>211</v>
      </c>
      <c r="M76" s="452">
        <f>'[1]FFIN2 Julho 2018'!$M$56</f>
        <v>396763645.16000003</v>
      </c>
      <c r="N76" s="204">
        <f>G76/M76</f>
        <v>1.6210159696981245E-2</v>
      </c>
      <c r="O76" s="802"/>
      <c r="P76" s="785"/>
      <c r="Q76" s="791"/>
      <c r="R76" s="791"/>
      <c r="S76" s="817"/>
      <c r="T76" s="635"/>
      <c r="U76" s="64"/>
      <c r="V76" s="63"/>
      <c r="W76" s="64"/>
      <c r="X76" s="64"/>
      <c r="Y76" s="182"/>
    </row>
    <row r="77" spans="1:25" s="1" customFormat="1" ht="18.75" thickBot="1" x14ac:dyDescent="0.3">
      <c r="A77" s="8">
        <v>36</v>
      </c>
      <c r="B77" s="391" t="s">
        <v>209</v>
      </c>
      <c r="C77" s="108"/>
      <c r="D77" s="88" t="s">
        <v>327</v>
      </c>
      <c r="E77" s="180" t="s">
        <v>39</v>
      </c>
      <c r="F77" s="155" t="s">
        <v>49</v>
      </c>
      <c r="G77" s="454">
        <f>'[2]FFPREV Julho 2018'!$G$41</f>
        <v>4232949.9800000004</v>
      </c>
      <c r="H77" s="78">
        <f t="shared" si="5"/>
        <v>4.024246872003861E-3</v>
      </c>
      <c r="I77" s="367">
        <f>'[2]FFPREV Julho 2018'!$I$41</f>
        <v>5.3400000000000003E-2</v>
      </c>
      <c r="J77" s="181"/>
      <c r="K77" s="324"/>
      <c r="L77" s="392" t="s">
        <v>211</v>
      </c>
      <c r="M77" s="456">
        <f>'[2]FFPREV Julho 2018'!$M$41</f>
        <v>281988478.39999998</v>
      </c>
      <c r="N77" s="70">
        <f>G77/M77</f>
        <v>1.5011074225506373E-2</v>
      </c>
      <c r="O77" s="802"/>
      <c r="P77" s="785"/>
      <c r="Q77" s="792"/>
      <c r="R77" s="791"/>
      <c r="S77" s="795"/>
      <c r="T77" s="64"/>
      <c r="U77" s="64"/>
      <c r="V77" s="63"/>
      <c r="W77" s="64"/>
      <c r="X77" s="64"/>
      <c r="Y77" s="182"/>
    </row>
    <row r="78" spans="1:25" s="1" customFormat="1" ht="23.25" thickBot="1" x14ac:dyDescent="0.3">
      <c r="A78" s="8"/>
      <c r="B78" s="350" t="s">
        <v>183</v>
      </c>
      <c r="C78" s="338"/>
      <c r="D78" s="348"/>
      <c r="E78" s="340"/>
      <c r="F78" s="342"/>
      <c r="G78" s="612">
        <v>0</v>
      </c>
      <c r="H78" s="215"/>
      <c r="I78" s="116"/>
      <c r="J78" s="408"/>
      <c r="K78" s="318"/>
      <c r="L78" s="409"/>
      <c r="M78" s="317"/>
      <c r="N78" s="187"/>
      <c r="O78" s="410" t="s">
        <v>96</v>
      </c>
      <c r="P78" s="322">
        <v>0</v>
      </c>
      <c r="Q78" s="95">
        <v>0.2</v>
      </c>
      <c r="R78" s="96">
        <v>0</v>
      </c>
      <c r="S78" s="581" t="s">
        <v>310</v>
      </c>
      <c r="T78" s="64"/>
      <c r="U78" s="64"/>
      <c r="V78" s="63"/>
      <c r="W78" s="64"/>
      <c r="X78" s="64"/>
      <c r="Y78" s="182"/>
    </row>
    <row r="79" spans="1:25" s="53" customFormat="1" ht="18.75" thickBot="1" x14ac:dyDescent="0.25">
      <c r="A79" s="40"/>
      <c r="B79" s="350" t="s">
        <v>184</v>
      </c>
      <c r="C79" s="335"/>
      <c r="D79" s="336"/>
      <c r="E79" s="336"/>
      <c r="F79" s="336"/>
      <c r="G79" s="582">
        <f>SUM(G80:G83)</f>
        <v>7223577.1400000006</v>
      </c>
      <c r="H79" s="43">
        <f t="shared" ref="H79:H94" si="8">G79/$G$97</f>
        <v>6.8674229196357276E-3</v>
      </c>
      <c r="I79" s="412"/>
      <c r="J79" s="44"/>
      <c r="K79" s="44"/>
      <c r="L79" s="44"/>
      <c r="M79" s="130"/>
      <c r="N79" s="131"/>
      <c r="O79" s="42"/>
      <c r="P79" s="166"/>
      <c r="Q79" s="730"/>
      <c r="R79" s="730"/>
      <c r="S79" s="140"/>
      <c r="T79" s="52"/>
      <c r="U79" s="52"/>
      <c r="V79" s="52"/>
      <c r="W79" s="52"/>
      <c r="X79" s="52"/>
      <c r="Y79" s="52"/>
    </row>
    <row r="80" spans="1:25" s="1" customFormat="1" ht="18.75" thickBot="1" x14ac:dyDescent="0.3">
      <c r="A80" s="8">
        <v>39</v>
      </c>
      <c r="B80" s="209" t="s">
        <v>116</v>
      </c>
      <c r="C80" s="87" t="s">
        <v>100</v>
      </c>
      <c r="D80" s="210" t="s">
        <v>117</v>
      </c>
      <c r="E80" s="110" t="s">
        <v>38</v>
      </c>
      <c r="F80" s="110" t="s">
        <v>39</v>
      </c>
      <c r="G80" s="591">
        <f>'[1]FFIN2 Julho 2018'!$G$59</f>
        <v>3637931.19</v>
      </c>
      <c r="H80" s="614">
        <f t="shared" si="8"/>
        <v>3.4585651333216985E-3</v>
      </c>
      <c r="I80" s="416">
        <f>'[1]FFIN2 Julho 2018'!$I$59</f>
        <v>3.85E-2</v>
      </c>
      <c r="J80" s="117"/>
      <c r="K80" s="377"/>
      <c r="L80" s="211" t="s">
        <v>118</v>
      </c>
      <c r="M80" s="458">
        <f>'[1]FFIN2 Julho 2018'!$M$59</f>
        <v>1054214856.05</v>
      </c>
      <c r="N80" s="378">
        <f>G80/M80</f>
        <v>3.4508441700687414E-3</v>
      </c>
      <c r="O80" s="799" t="s">
        <v>96</v>
      </c>
      <c r="P80" s="796">
        <f>SUM(G80:G83)/G97</f>
        <v>6.8674229196357276E-3</v>
      </c>
      <c r="Q80" s="778">
        <v>0.1</v>
      </c>
      <c r="R80" s="778">
        <v>0.05</v>
      </c>
      <c r="S80" s="813" t="s">
        <v>311</v>
      </c>
      <c r="T80" s="64"/>
      <c r="U80" s="64"/>
      <c r="V80" s="63"/>
      <c r="W80" s="64"/>
      <c r="X80" s="64"/>
      <c r="Y80" s="90"/>
    </row>
    <row r="81" spans="1:25" s="1" customFormat="1" ht="18.75" thickBot="1" x14ac:dyDescent="0.3">
      <c r="A81" s="8"/>
      <c r="B81" s="393" t="s">
        <v>212</v>
      </c>
      <c r="C81" s="87" t="s">
        <v>100</v>
      </c>
      <c r="D81" s="210" t="s">
        <v>117</v>
      </c>
      <c r="E81" s="110" t="s">
        <v>38</v>
      </c>
      <c r="F81" s="110" t="s">
        <v>39</v>
      </c>
      <c r="G81" s="457">
        <f>'[2]FFPREV Julho 2018'!$G$44</f>
        <v>3585645.95</v>
      </c>
      <c r="H81" s="78">
        <f t="shared" si="8"/>
        <v>3.4088577863140286E-3</v>
      </c>
      <c r="I81" s="447">
        <f>'[2]FFPREV Julho 2018'!$I$44</f>
        <v>3.85E-2</v>
      </c>
      <c r="J81" s="411"/>
      <c r="K81" s="403"/>
      <c r="L81" s="211" t="s">
        <v>71</v>
      </c>
      <c r="M81" s="458">
        <f>'[2]FFPREV Julho 2018'!$M$44</f>
        <v>1054214856.05</v>
      </c>
      <c r="N81" s="378">
        <f>G81/M81</f>
        <v>3.4012477906400686E-3</v>
      </c>
      <c r="O81" s="800"/>
      <c r="P81" s="797"/>
      <c r="Q81" s="779"/>
      <c r="R81" s="779"/>
      <c r="S81" s="814"/>
      <c r="T81" s="64"/>
      <c r="U81" s="64"/>
      <c r="V81" s="63"/>
      <c r="W81" s="64"/>
      <c r="X81" s="64"/>
      <c r="Y81" s="90"/>
    </row>
    <row r="82" spans="1:25" s="1" customFormat="1" ht="18" x14ac:dyDescent="0.25">
      <c r="A82" s="8">
        <v>40</v>
      </c>
      <c r="B82" s="66" t="s">
        <v>107</v>
      </c>
      <c r="C82" s="197"/>
      <c r="D82" s="179" t="s">
        <v>119</v>
      </c>
      <c r="E82" s="124" t="s">
        <v>120</v>
      </c>
      <c r="F82" s="124" t="s">
        <v>120</v>
      </c>
      <c r="G82" s="665">
        <f>'[1]FFIN2 Julho 2018'!$G$60</f>
        <v>0</v>
      </c>
      <c r="H82" s="78">
        <f t="shared" si="8"/>
        <v>0</v>
      </c>
      <c r="I82" s="670">
        <f>'[1]FFIN2 Julho 2018'!$I$60</f>
        <v>0</v>
      </c>
      <c r="J82" s="111"/>
      <c r="K82" s="126"/>
      <c r="L82" s="113" t="s">
        <v>95</v>
      </c>
      <c r="M82" s="701">
        <f>'[1]FFIN2 Julho 2018'!$M$60</f>
        <v>0</v>
      </c>
      <c r="N82" s="378" t="e">
        <f t="shared" ref="N82:N83" si="9">G82/M82</f>
        <v>#DIV/0!</v>
      </c>
      <c r="O82" s="800"/>
      <c r="P82" s="797"/>
      <c r="Q82" s="779"/>
      <c r="R82" s="779"/>
      <c r="S82" s="814"/>
      <c r="T82" s="64"/>
      <c r="U82" s="64"/>
      <c r="V82" s="63"/>
      <c r="W82" s="64"/>
      <c r="X82" s="64"/>
      <c r="Y82" s="90"/>
    </row>
    <row r="83" spans="1:25" s="1" customFormat="1" ht="18.75" thickBot="1" x14ac:dyDescent="0.3">
      <c r="A83" s="8"/>
      <c r="B83" s="413" t="s">
        <v>202</v>
      </c>
      <c r="C83" s="197"/>
      <c r="D83" s="88" t="s">
        <v>119</v>
      </c>
      <c r="E83" s="124" t="s">
        <v>120</v>
      </c>
      <c r="F83" s="124" t="s">
        <v>120</v>
      </c>
      <c r="G83" s="673">
        <f>'[2]FFPREV Julho 2018'!$G$45</f>
        <v>0</v>
      </c>
      <c r="H83" s="89">
        <f t="shared" si="8"/>
        <v>0</v>
      </c>
      <c r="I83" s="674">
        <f>'[2]FFPREV Julho 2018'!$I$45</f>
        <v>0</v>
      </c>
      <c r="J83" s="169"/>
      <c r="K83" s="405"/>
      <c r="L83" s="387" t="s">
        <v>95</v>
      </c>
      <c r="M83" s="703">
        <f>'[2]FFPREV Julho 2018'!$M$45</f>
        <v>0</v>
      </c>
      <c r="N83" s="378" t="e">
        <f t="shared" si="9"/>
        <v>#DIV/0!</v>
      </c>
      <c r="O83" s="801"/>
      <c r="P83" s="798"/>
      <c r="Q83" s="780"/>
      <c r="R83" s="780"/>
      <c r="S83" s="815"/>
      <c r="T83" s="64"/>
      <c r="U83" s="64"/>
      <c r="V83" s="63"/>
      <c r="W83" s="64"/>
      <c r="X83" s="64"/>
      <c r="Y83" s="90"/>
    </row>
    <row r="84" spans="1:25" s="1" customFormat="1" ht="18.75" thickBot="1" x14ac:dyDescent="0.3">
      <c r="A84" s="8"/>
      <c r="B84" s="350" t="s">
        <v>185</v>
      </c>
      <c r="C84" s="335"/>
      <c r="D84" s="336"/>
      <c r="E84" s="336"/>
      <c r="F84" s="336"/>
      <c r="G84" s="582">
        <f>SUM(G85:G89)</f>
        <v>16061596.93</v>
      </c>
      <c r="H84" s="43">
        <f t="shared" si="8"/>
        <v>1.5269689344389395E-2</v>
      </c>
      <c r="I84" s="91"/>
      <c r="J84" s="92"/>
      <c r="K84" s="92"/>
      <c r="L84" s="44"/>
      <c r="M84" s="93"/>
      <c r="N84" s="131"/>
      <c r="O84" s="42"/>
      <c r="P84" s="730"/>
      <c r="Q84" s="49"/>
      <c r="R84" s="49"/>
      <c r="S84" s="140"/>
      <c r="T84" s="64"/>
      <c r="U84" s="64"/>
      <c r="V84" s="63"/>
      <c r="W84" s="64"/>
      <c r="X84" s="64"/>
      <c r="Y84" s="90"/>
    </row>
    <row r="85" spans="1:25" s="1" customFormat="1" ht="18" x14ac:dyDescent="0.25">
      <c r="A85" s="8"/>
      <c r="B85" s="148" t="s">
        <v>124</v>
      </c>
      <c r="C85" s="216"/>
      <c r="D85" s="707" t="s">
        <v>125</v>
      </c>
      <c r="E85" s="100" t="s">
        <v>89</v>
      </c>
      <c r="F85" s="100" t="s">
        <v>89</v>
      </c>
      <c r="G85" s="588">
        <f>'[1]FFIN2 Julho 2018'!$G$62</f>
        <v>14025497.640000001</v>
      </c>
      <c r="H85" s="102">
        <f t="shared" si="8"/>
        <v>1.3333978731793927E-2</v>
      </c>
      <c r="I85" s="725">
        <f>'[1]FFIN2 Julho 2018'!$I$62</f>
        <v>-5.9999999999999995E-4</v>
      </c>
      <c r="J85" s="712"/>
      <c r="K85" s="220"/>
      <c r="L85" s="216" t="s">
        <v>80</v>
      </c>
      <c r="M85" s="727">
        <f>'[1]FFIN2 Julho 2018'!$M$62</f>
        <v>99523165.969999999</v>
      </c>
      <c r="N85" s="106">
        <f>G85/M85</f>
        <v>0.14092696412238143</v>
      </c>
      <c r="O85" s="781" t="s">
        <v>126</v>
      </c>
      <c r="P85" s="805">
        <f>SUM(G85:G89)/G97</f>
        <v>1.5269689344389395E-2</v>
      </c>
      <c r="Q85" s="808">
        <v>0.05</v>
      </c>
      <c r="R85" s="790">
        <v>0.03</v>
      </c>
      <c r="S85" s="793" t="s">
        <v>312</v>
      </c>
      <c r="T85" s="64"/>
      <c r="U85" s="64"/>
      <c r="V85" s="63"/>
      <c r="W85" s="64"/>
      <c r="X85" s="64"/>
      <c r="Y85" s="90"/>
    </row>
    <row r="86" spans="1:25" s="1" customFormat="1" ht="18" x14ac:dyDescent="0.25">
      <c r="A86" s="8"/>
      <c r="B86" s="706" t="s">
        <v>341</v>
      </c>
      <c r="C86" s="216"/>
      <c r="D86" s="708" t="s">
        <v>340</v>
      </c>
      <c r="E86" s="115" t="s">
        <v>89</v>
      </c>
      <c r="F86" s="190" t="s">
        <v>89</v>
      </c>
      <c r="G86" s="362">
        <f>'[1]FFIN2 Julho 2018'!$G$63</f>
        <v>144668.69</v>
      </c>
      <c r="H86" s="116">
        <f t="shared" si="8"/>
        <v>1.375358853660246E-4</v>
      </c>
      <c r="I86" s="358">
        <f>'[1]FFIN2 Julho 2018'!$I$63</f>
        <v>-0.1024</v>
      </c>
      <c r="J86" s="713"/>
      <c r="K86" s="715"/>
      <c r="L86" s="216" t="s">
        <v>80</v>
      </c>
      <c r="M86" s="430">
        <f>'[1]FFIN2 Julho 2018'!$M$63</f>
        <v>5768663.8200000003</v>
      </c>
      <c r="N86" s="119">
        <f>G86/M86</f>
        <v>2.5078370748254142E-2</v>
      </c>
      <c r="O86" s="782"/>
      <c r="P86" s="806"/>
      <c r="Q86" s="809"/>
      <c r="R86" s="791"/>
      <c r="S86" s="794"/>
      <c r="T86" s="64"/>
      <c r="U86" s="64"/>
      <c r="V86" s="63"/>
      <c r="W86" s="64"/>
      <c r="X86" s="64"/>
      <c r="Y86" s="90"/>
    </row>
    <row r="87" spans="1:25" s="1" customFormat="1" ht="18" x14ac:dyDescent="0.25">
      <c r="A87" s="8"/>
      <c r="B87" s="706" t="s">
        <v>342</v>
      </c>
      <c r="C87" s="216"/>
      <c r="D87" s="709" t="s">
        <v>340</v>
      </c>
      <c r="E87" s="115" t="s">
        <v>89</v>
      </c>
      <c r="F87" s="115" t="s">
        <v>89</v>
      </c>
      <c r="G87" s="384">
        <f>'[2]FFPREV Julho 2018'!$G$47</f>
        <v>217003.03</v>
      </c>
      <c r="H87" s="78">
        <f t="shared" si="8"/>
        <v>2.0630382329555897E-4</v>
      </c>
      <c r="I87" s="358">
        <f>'[2]FFPREV Julho 2018'!$I$47</f>
        <v>-0.1024</v>
      </c>
      <c r="J87" s="224"/>
      <c r="K87" s="714"/>
      <c r="L87" s="216" t="s">
        <v>80</v>
      </c>
      <c r="M87" s="445">
        <f>'[2]FFPREV Julho 2018'!$M$47</f>
        <v>5768663.8200000003</v>
      </c>
      <c r="N87" s="119">
        <f>G87/M87</f>
        <v>3.7617555255629369E-2</v>
      </c>
      <c r="O87" s="782"/>
      <c r="P87" s="806"/>
      <c r="Q87" s="809"/>
      <c r="R87" s="791"/>
      <c r="S87" s="794"/>
      <c r="T87" s="64"/>
      <c r="U87" s="64"/>
      <c r="V87" s="63"/>
      <c r="W87" s="64"/>
      <c r="X87" s="64"/>
      <c r="Y87" s="90"/>
    </row>
    <row r="88" spans="1:25" s="1" customFormat="1" ht="18" x14ac:dyDescent="0.25">
      <c r="A88" s="8"/>
      <c r="B88" s="221" t="s">
        <v>127</v>
      </c>
      <c r="C88" s="222"/>
      <c r="D88" s="223" t="s">
        <v>128</v>
      </c>
      <c r="E88" s="180" t="s">
        <v>89</v>
      </c>
      <c r="F88" s="180" t="s">
        <v>89</v>
      </c>
      <c r="G88" s="384">
        <f>'[1]FFIN2 Julho 2018'!$G$64</f>
        <v>402707.48</v>
      </c>
      <c r="H88" s="78">
        <f t="shared" si="8"/>
        <v>3.8285222466119409E-4</v>
      </c>
      <c r="I88" s="448">
        <f>'[1]FFIN2 Julho 2018'!$I$64</f>
        <v>-1.5E-3</v>
      </c>
      <c r="J88" s="224"/>
      <c r="K88" s="225"/>
      <c r="L88" s="226" t="s">
        <v>80</v>
      </c>
      <c r="M88" s="428">
        <f>'[1]FFIN2 Julho 2018'!$M$64</f>
        <v>201005537.55000001</v>
      </c>
      <c r="N88" s="114">
        <f>G88/M88</f>
        <v>2.0034646055451417E-3</v>
      </c>
      <c r="O88" s="782"/>
      <c r="P88" s="806"/>
      <c r="Q88" s="809"/>
      <c r="R88" s="791"/>
      <c r="S88" s="794"/>
      <c r="T88" s="64"/>
      <c r="U88" s="64"/>
      <c r="V88" s="63"/>
      <c r="W88" s="64"/>
      <c r="X88" s="64"/>
      <c r="Y88" s="90"/>
    </row>
    <row r="89" spans="1:25" s="1" customFormat="1" ht="18.75" thickBot="1" x14ac:dyDescent="0.3">
      <c r="A89" s="8"/>
      <c r="B89" s="227" t="s">
        <v>129</v>
      </c>
      <c r="C89" s="216"/>
      <c r="D89" s="228" t="s">
        <v>130</v>
      </c>
      <c r="E89" s="155" t="s">
        <v>89</v>
      </c>
      <c r="F89" s="155" t="s">
        <v>89</v>
      </c>
      <c r="G89" s="385">
        <f>'[1]FFIN2 Julho 2018'!$G$65</f>
        <v>1271720.0900000001</v>
      </c>
      <c r="H89" s="89">
        <f t="shared" si="8"/>
        <v>1.209018679272692E-3</v>
      </c>
      <c r="I89" s="460">
        <f>'[1]FFIN2 Julho 2018'!$I$65</f>
        <v>0.43159999999999998</v>
      </c>
      <c r="J89" s="229"/>
      <c r="K89" s="230"/>
      <c r="L89" s="231" t="s">
        <v>80</v>
      </c>
      <c r="M89" s="428">
        <f>'[1]FFIN2 Julho 2018'!$M$65</f>
        <v>232259984.24000001</v>
      </c>
      <c r="N89" s="171">
        <f>G89/M89</f>
        <v>5.4754162416798414E-3</v>
      </c>
      <c r="O89" s="783"/>
      <c r="P89" s="807"/>
      <c r="Q89" s="810"/>
      <c r="R89" s="792"/>
      <c r="S89" s="795"/>
      <c r="T89" s="64"/>
      <c r="U89" s="64"/>
      <c r="V89" s="63"/>
      <c r="W89" s="64"/>
      <c r="X89" s="64"/>
      <c r="Y89" s="90"/>
    </row>
    <row r="90" spans="1:25" s="53" customFormat="1" ht="18.75" thickBot="1" x14ac:dyDescent="0.25">
      <c r="A90" s="40"/>
      <c r="B90" s="350" t="s">
        <v>186</v>
      </c>
      <c r="C90" s="335"/>
      <c r="D90" s="336"/>
      <c r="E90" s="336"/>
      <c r="F90" s="336"/>
      <c r="G90" s="582">
        <f>SUM(G91:G92)</f>
        <v>13340494.949999999</v>
      </c>
      <c r="H90" s="43">
        <f t="shared" si="8"/>
        <v>1.2682749696352611E-2</v>
      </c>
      <c r="I90" s="91"/>
      <c r="J90" s="92"/>
      <c r="K90" s="44"/>
      <c r="L90" s="44"/>
      <c r="M90" s="130"/>
      <c r="N90" s="131"/>
      <c r="O90" s="42"/>
      <c r="P90" s="730"/>
      <c r="Q90" s="166"/>
      <c r="R90" s="166"/>
      <c r="S90" s="580"/>
      <c r="T90" s="52"/>
      <c r="U90" s="52"/>
      <c r="V90" s="52"/>
      <c r="W90" s="52"/>
      <c r="X90" s="52"/>
      <c r="Y90" s="52"/>
    </row>
    <row r="91" spans="1:25" s="53" customFormat="1" ht="16.5" customHeight="1" x14ac:dyDescent="0.25">
      <c r="A91" s="212">
        <v>41</v>
      </c>
      <c r="B91" s="97" t="s">
        <v>161</v>
      </c>
      <c r="C91" s="98"/>
      <c r="D91" s="134" t="s">
        <v>162</v>
      </c>
      <c r="E91" s="101" t="s">
        <v>89</v>
      </c>
      <c r="F91" s="101" t="s">
        <v>89</v>
      </c>
      <c r="G91" s="588">
        <f>'[1]FFIN2 Julho 2018'!$G$67</f>
        <v>4150000</v>
      </c>
      <c r="H91" s="213">
        <f t="shared" si="8"/>
        <v>3.9453866919580329E-3</v>
      </c>
      <c r="I91" s="416">
        <f>'[1]FFIN2 Julho 2018'!$I$67</f>
        <v>-0.17</v>
      </c>
      <c r="J91" s="214"/>
      <c r="K91" s="104"/>
      <c r="L91" s="105" t="s">
        <v>71</v>
      </c>
      <c r="M91" s="427">
        <f>'[1]FFIN2 Julho 2018'!$M$67</f>
        <v>234208431.75</v>
      </c>
      <c r="N91" s="135">
        <f>G91/M91</f>
        <v>1.7719259588526749E-2</v>
      </c>
      <c r="O91" s="799" t="s">
        <v>121</v>
      </c>
      <c r="P91" s="796">
        <f>SUM(G91:G92)/G97</f>
        <v>1.2682749696352611E-2</v>
      </c>
      <c r="Q91" s="790">
        <v>0.05</v>
      </c>
      <c r="R91" s="790">
        <v>0.03</v>
      </c>
      <c r="S91" s="793" t="s">
        <v>313</v>
      </c>
      <c r="T91" s="52"/>
      <c r="U91" s="52"/>
      <c r="V91" s="52"/>
      <c r="W91" s="52"/>
      <c r="X91" s="52"/>
      <c r="Y91" s="52"/>
    </row>
    <row r="92" spans="1:25" s="1" customFormat="1" ht="18.75" thickBot="1" x14ac:dyDescent="0.3">
      <c r="A92" s="8">
        <v>42</v>
      </c>
      <c r="B92" s="167" t="s">
        <v>122</v>
      </c>
      <c r="C92" s="108"/>
      <c r="D92" s="87" t="s">
        <v>123</v>
      </c>
      <c r="E92" s="168" t="s">
        <v>89</v>
      </c>
      <c r="F92" s="168" t="s">
        <v>89</v>
      </c>
      <c r="G92" s="385">
        <f>'[1]FFIN2 Julho 2018'!$G$68</f>
        <v>9190494.9499999993</v>
      </c>
      <c r="H92" s="215">
        <f t="shared" si="8"/>
        <v>8.7373630043945782E-3</v>
      </c>
      <c r="I92" s="460">
        <f>'[1]FFIN2 Julho 2018'!$I$68</f>
        <v>4.5900000000000003E-2</v>
      </c>
      <c r="J92" s="138"/>
      <c r="K92" s="208"/>
      <c r="L92" s="159" t="s">
        <v>71</v>
      </c>
      <c r="M92" s="446">
        <f>'[1]FFIN2 Julho 2018'!$M$68</f>
        <v>140464366.86000001</v>
      </c>
      <c r="N92" s="624">
        <f>G92/M92</f>
        <v>6.5429369422638772E-2</v>
      </c>
      <c r="O92" s="801"/>
      <c r="P92" s="798"/>
      <c r="Q92" s="792"/>
      <c r="R92" s="792"/>
      <c r="S92" s="795"/>
      <c r="T92" s="64"/>
      <c r="U92" s="64"/>
      <c r="V92" s="63"/>
      <c r="W92" s="64"/>
      <c r="X92" s="63"/>
      <c r="Y92" s="65"/>
    </row>
    <row r="93" spans="1:25" s="1" customFormat="1" ht="12" customHeight="1" thickBot="1" x14ac:dyDescent="0.3">
      <c r="A93" s="185"/>
      <c r="B93" s="186" t="s">
        <v>131</v>
      </c>
      <c r="C93" s="41"/>
      <c r="D93" s="42"/>
      <c r="E93" s="232"/>
      <c r="F93" s="232"/>
      <c r="G93" s="592">
        <f>SUM(G94:G96)</f>
        <v>15635.51</v>
      </c>
      <c r="H93" s="233">
        <f t="shared" si="8"/>
        <v>1.4864610379753431E-5</v>
      </c>
      <c r="I93" s="234"/>
      <c r="J93" s="235"/>
      <c r="K93" s="235"/>
      <c r="L93" s="235"/>
      <c r="M93" s="236"/>
      <c r="N93" s="131"/>
      <c r="O93" s="237"/>
      <c r="P93" s="238">
        <f>SUM((G62+G65+G67+G79+G90)/G97)*100</f>
        <v>15.831253466465409</v>
      </c>
      <c r="Q93" s="239"/>
      <c r="R93" s="240">
        <f>SUM(P62+P93+P94+P95)/100</f>
        <v>0.98471559469133463</v>
      </c>
      <c r="S93" s="51"/>
      <c r="T93" s="216"/>
      <c r="U93" s="216"/>
      <c r="V93" s="216"/>
      <c r="W93" s="216"/>
      <c r="X93" s="216"/>
    </row>
    <row r="94" spans="1:25" s="1" customFormat="1" ht="18" x14ac:dyDescent="0.25">
      <c r="A94" s="185">
        <v>46</v>
      </c>
      <c r="B94" s="241" t="s">
        <v>132</v>
      </c>
      <c r="C94" s="242"/>
      <c r="D94" s="243"/>
      <c r="E94" s="244"/>
      <c r="F94" s="245"/>
      <c r="G94" s="705">
        <f>'[1]FFIN2 Julho 2018'!$G$70</f>
        <v>3452.11</v>
      </c>
      <c r="H94" s="199">
        <f t="shared" si="8"/>
        <v>3.2819057477530712E-6</v>
      </c>
      <c r="I94" s="142">
        <f>'[1]FFIN2 Julho 2018'!$I$70</f>
        <v>0</v>
      </c>
      <c r="J94" s="246"/>
      <c r="K94" s="247"/>
      <c r="L94" s="248"/>
      <c r="M94" s="249"/>
      <c r="N94" s="250"/>
      <c r="O94" s="803" t="s">
        <v>133</v>
      </c>
      <c r="P94" s="811">
        <f>SUM(G94:G96)/G97</f>
        <v>1.4864610379753431E-5</v>
      </c>
      <c r="Q94" s="574"/>
      <c r="R94" s="251"/>
      <c r="S94" s="245"/>
      <c r="T94" s="216"/>
      <c r="U94" s="216"/>
      <c r="V94" s="216"/>
      <c r="W94" s="216"/>
      <c r="X94" s="216"/>
    </row>
    <row r="95" spans="1:25" s="216" customFormat="1" ht="18.75" thickBot="1" x14ac:dyDescent="0.3">
      <c r="A95" s="8">
        <v>47</v>
      </c>
      <c r="B95" s="252" t="s">
        <v>134</v>
      </c>
      <c r="C95" s="253"/>
      <c r="D95" s="254"/>
      <c r="E95" s="255"/>
      <c r="F95" s="253"/>
      <c r="G95" s="665">
        <f>'[1]FFIN2 Julho 2018'!$G$71</f>
        <v>1257.17</v>
      </c>
      <c r="H95" s="256">
        <v>9.5999999999999992E-3</v>
      </c>
      <c r="I95" s="71">
        <f>'[1]FFIN2 Julho 2018'!$I$71</f>
        <v>0</v>
      </c>
      <c r="J95" s="257"/>
      <c r="K95" s="258"/>
      <c r="L95" s="259"/>
      <c r="M95" s="260"/>
      <c r="N95" s="261"/>
      <c r="O95" s="804"/>
      <c r="P95" s="812"/>
      <c r="Q95" s="253"/>
      <c r="R95" s="262"/>
      <c r="S95" s="255"/>
      <c r="T95" s="263"/>
      <c r="V95" s="264"/>
      <c r="Y95" s="1"/>
    </row>
    <row r="96" spans="1:25" s="216" customFormat="1" ht="18" x14ac:dyDescent="0.25">
      <c r="A96" s="8"/>
      <c r="B96" s="401" t="s">
        <v>334</v>
      </c>
      <c r="C96" s="242"/>
      <c r="D96" s="254"/>
      <c r="E96" s="402"/>
      <c r="F96" s="255"/>
      <c r="G96" s="665">
        <f>'[2]FFPREV Julho 2018'!$G$49</f>
        <v>10926.23</v>
      </c>
      <c r="H96" s="70">
        <f>G96/$G$91</f>
        <v>2.6328265060240963E-3</v>
      </c>
      <c r="I96" s="71">
        <f>'[2]FFPREV Julho 2018'!$I$51</f>
        <v>0</v>
      </c>
      <c r="J96" s="394"/>
      <c r="K96" s="395"/>
      <c r="L96" s="396"/>
      <c r="M96" s="397"/>
      <c r="N96" s="398"/>
      <c r="O96" s="576"/>
      <c r="P96" s="812"/>
      <c r="Q96" s="575"/>
      <c r="R96" s="399"/>
      <c r="S96" s="400"/>
      <c r="T96" s="263"/>
      <c r="V96" s="264"/>
      <c r="Y96" s="1"/>
    </row>
    <row r="97" spans="1:25" s="216" customFormat="1" ht="18.75" thickBot="1" x14ac:dyDescent="0.3">
      <c r="A97" s="8"/>
      <c r="B97" s="265" t="s">
        <v>135</v>
      </c>
      <c r="C97" s="266"/>
      <c r="D97" s="267"/>
      <c r="E97" s="268"/>
      <c r="F97" s="268"/>
      <c r="G97" s="594">
        <f>G4+G17+G33+G34+G35+G37+G38+G52+G53+G54+G55+G56+G60+G61+G62+G65+G67+G78+G79+G84+G90+G93</f>
        <v>1051861407.7700001</v>
      </c>
      <c r="H97" s="269">
        <f>G97/$G$97</f>
        <v>1</v>
      </c>
      <c r="I97" s="270"/>
      <c r="J97" s="271"/>
      <c r="K97" s="272"/>
      <c r="L97" s="273"/>
      <c r="M97" s="274"/>
      <c r="N97" s="275"/>
      <c r="O97" s="577"/>
      <c r="P97" s="579">
        <f>SUM(P5+P18+P57+P58+P63+P66+P68+P80+P85+P91+P94+P95)</f>
        <v>0.79201311607789593</v>
      </c>
      <c r="Q97" s="578"/>
      <c r="R97" s="276"/>
      <c r="S97" s="277"/>
      <c r="T97" s="263"/>
      <c r="V97" s="264"/>
      <c r="Y97" s="1"/>
    </row>
    <row r="98" spans="1:25" s="216" customFormat="1" x14ac:dyDescent="0.25">
      <c r="A98" s="1"/>
      <c r="B98" s="278" t="str">
        <f>'[1]FFIN2 Julho 2018'!$B$73</f>
        <v>Meta Atuarial(INPC 0,25 + 0,486755)</v>
      </c>
      <c r="C98" s="278"/>
      <c r="D98" s="279"/>
      <c r="E98" s="279">
        <f>'[1]FFIN2 Julho 2018'!$E$73</f>
        <v>7.6E-3</v>
      </c>
      <c r="F98" s="279"/>
      <c r="G98" s="278" t="s">
        <v>136</v>
      </c>
      <c r="H98" s="280">
        <f>'[1]FFIN2 Julho 2018'!$H$73</f>
        <v>8.8800000000000004E-2</v>
      </c>
      <c r="I98" s="281"/>
      <c r="J98" s="278" t="s">
        <v>137</v>
      </c>
      <c r="K98" s="280">
        <f>'[1]FFIN2 Julho 2018'!$K$73</f>
        <v>1.37E-2</v>
      </c>
      <c r="L98" s="281"/>
      <c r="M98" s="282" t="s">
        <v>138</v>
      </c>
      <c r="N98" s="280">
        <f>'[1]FFIN2 Julho 2018'!$N$73</f>
        <v>1.4744E-2</v>
      </c>
      <c r="O98" s="1"/>
      <c r="P98" s="280" t="s">
        <v>317</v>
      </c>
      <c r="Q98" s="1"/>
      <c r="R98" s="280"/>
      <c r="S98" s="283">
        <v>4.3200000000000002E-2</v>
      </c>
      <c r="Y98" s="1"/>
    </row>
    <row r="99" spans="1:25" s="216" customFormat="1" x14ac:dyDescent="0.25">
      <c r="A99" s="1"/>
      <c r="B99" s="278" t="s">
        <v>335</v>
      </c>
      <c r="C99" s="284"/>
      <c r="D99" s="278"/>
      <c r="E99" s="285">
        <v>2.06E-2</v>
      </c>
      <c r="F99" s="280"/>
      <c r="G99" s="278" t="s">
        <v>140</v>
      </c>
      <c r="H99" s="280">
        <f>'[1]FFIN2 Julho 2018'!$H$74</f>
        <v>8.8400000000000006E-2</v>
      </c>
      <c r="I99" s="278"/>
      <c r="J99" s="278" t="s">
        <v>141</v>
      </c>
      <c r="K99" s="280">
        <f>'[1]FFIN2 Julho 2018'!$K$74</f>
        <v>2.3153E-2</v>
      </c>
      <c r="L99" s="280"/>
      <c r="M99" s="282" t="s">
        <v>142</v>
      </c>
      <c r="N99" s="280">
        <f>'[1]FFIN2 Julho 2018'!$N$74</f>
        <v>6.6020000000000002E-3</v>
      </c>
      <c r="O99" s="1"/>
      <c r="P99" s="286" t="s">
        <v>143</v>
      </c>
      <c r="Q99" s="1"/>
      <c r="R99" s="1"/>
      <c r="S99" s="283">
        <v>6.3600000000000004E-2</v>
      </c>
      <c r="Y99" s="1"/>
    </row>
    <row r="100" spans="1:25" s="216" customFormat="1" x14ac:dyDescent="0.25">
      <c r="A100" s="1"/>
      <c r="B100" s="278" t="s">
        <v>144</v>
      </c>
      <c r="C100" s="1"/>
      <c r="D100" s="280"/>
      <c r="E100" s="280">
        <f>'[1]FFIN2 Julho 2018'!$E$75</f>
        <v>2.5000000000000001E-3</v>
      </c>
      <c r="F100" s="280"/>
      <c r="G100" s="278" t="s">
        <v>145</v>
      </c>
      <c r="H100" s="280">
        <f>'[1]FFIN2 Julho 2018'!$H$75</f>
        <v>8.9200000000000002E-2</v>
      </c>
      <c r="I100" s="278"/>
      <c r="J100" s="278" t="s">
        <v>146</v>
      </c>
      <c r="K100" s="280">
        <f>'[1]FFIN2 Julho 2018'!$K$75</f>
        <v>1.4142999999999999E-2</v>
      </c>
      <c r="L100" s="280"/>
      <c r="M100" s="282" t="s">
        <v>147</v>
      </c>
      <c r="N100" s="280">
        <f>'[1]FFIN2 Julho 2018'!$N$75</f>
        <v>1.7947999999999999E-2</v>
      </c>
      <c r="O100" s="280"/>
      <c r="P100" s="286" t="s">
        <v>318</v>
      </c>
      <c r="Q100" s="1"/>
      <c r="R100" s="1"/>
      <c r="S100" s="283">
        <v>9.1899999999999996E-2</v>
      </c>
      <c r="T100" s="287"/>
      <c r="Y100" s="1"/>
    </row>
    <row r="101" spans="1:25" s="216" customFormat="1" x14ac:dyDescent="0.25">
      <c r="A101" s="1"/>
      <c r="B101" s="278" t="s">
        <v>118</v>
      </c>
      <c r="C101" s="280"/>
      <c r="D101" s="280"/>
      <c r="E101" s="288">
        <f>'[1]FFIN2 Julho 2018'!$E$76</f>
        <v>5.4000000000000003E-3</v>
      </c>
      <c r="F101" s="288"/>
      <c r="G101" s="278" t="s">
        <v>148</v>
      </c>
      <c r="H101" s="280">
        <f>'[1]FFIN2 Julho 2018'!$H$76</f>
        <v>5.0900000000000001E-2</v>
      </c>
      <c r="I101" s="278"/>
      <c r="J101" s="278" t="s">
        <v>149</v>
      </c>
      <c r="K101" s="280">
        <f>'[1]FFIN2 Julho 2018'!$K$76</f>
        <v>1.4765E-2</v>
      </c>
      <c r="L101" s="280"/>
      <c r="M101" s="282" t="s">
        <v>150</v>
      </c>
      <c r="N101" s="280">
        <f>'[1]FFIN2 Julho 2018'!$N$76</f>
        <v>2.2756999999999999E-2</v>
      </c>
      <c r="O101" s="280"/>
      <c r="P101" s="286" t="s">
        <v>151</v>
      </c>
      <c r="Q101" s="1"/>
      <c r="R101" s="1"/>
      <c r="S101" s="283">
        <v>9.8000000000000004E-2</v>
      </c>
      <c r="Y101" s="1"/>
    </row>
    <row r="102" spans="1:25" s="216" customFormat="1" x14ac:dyDescent="0.25">
      <c r="A102" s="1"/>
      <c r="B102" s="278" t="s">
        <v>80</v>
      </c>
      <c r="C102" s="1"/>
      <c r="D102" s="280"/>
      <c r="E102" s="288">
        <f>'[1]FFIN2 Julho 2018'!$E$77</f>
        <v>3.3E-3</v>
      </c>
      <c r="F102" s="288"/>
      <c r="G102" s="278" t="s">
        <v>112</v>
      </c>
      <c r="H102" s="280">
        <f>'[1]FFIN2 Julho 2018'!$H$77</f>
        <v>7.2700000000000001E-2</v>
      </c>
      <c r="I102" s="1"/>
      <c r="J102" s="278" t="s">
        <v>152</v>
      </c>
      <c r="K102" s="280">
        <f>'[1]FFIN2 Julho 2018'!$K$77</f>
        <v>3.1461999999999997E-2</v>
      </c>
      <c r="L102" s="1"/>
      <c r="M102" s="282" t="s">
        <v>153</v>
      </c>
      <c r="N102" s="280">
        <f>'[1]FFIN2 Julho 2018'!$N$77</f>
        <v>5.4429999999999999E-3</v>
      </c>
      <c r="O102" s="280"/>
      <c r="P102" s="286"/>
      <c r="Q102" s="1"/>
      <c r="R102" s="1"/>
      <c r="S102" s="289">
        <f>'[2]FFPREV Julho 2018'!$G$52</f>
        <v>267517033.79999998</v>
      </c>
      <c r="T102" s="290"/>
      <c r="Y102" s="1"/>
    </row>
    <row r="103" spans="1:25" s="216" customFormat="1" x14ac:dyDescent="0.25">
      <c r="A103" s="1"/>
      <c r="B103" s="1"/>
      <c r="C103" s="1"/>
      <c r="D103" s="1"/>
      <c r="E103" s="1"/>
      <c r="F103" s="1"/>
      <c r="G103" s="278"/>
      <c r="H103" s="280" t="s">
        <v>154</v>
      </c>
      <c r="I103" s="1"/>
      <c r="J103" s="278"/>
      <c r="K103" s="280"/>
      <c r="L103" s="1"/>
      <c r="M103" s="282"/>
      <c r="N103" s="291"/>
      <c r="O103" s="280"/>
      <c r="P103" s="1"/>
      <c r="Q103" s="1"/>
      <c r="R103" s="1"/>
      <c r="S103" s="292">
        <f>'[1]FFIN2 Julho 2018'!$G$72</f>
        <v>784344373.97000003</v>
      </c>
      <c r="Y103" s="1"/>
    </row>
    <row r="104" spans="1:25" s="1" customFormat="1" x14ac:dyDescent="0.25">
      <c r="D104" t="s">
        <v>155</v>
      </c>
      <c r="G104" s="293">
        <f>S104</f>
        <v>1051861407.77</v>
      </c>
      <c r="H104" s="280"/>
      <c r="J104" s="278"/>
      <c r="K104" s="280"/>
      <c r="M104" s="294"/>
      <c r="N104" s="291"/>
      <c r="O104" s="280"/>
      <c r="S104" s="295">
        <f>S102+S103</f>
        <v>1051861407.77</v>
      </c>
      <c r="T104" s="216"/>
      <c r="U104" s="216"/>
      <c r="V104" s="216"/>
      <c r="W104" s="216"/>
      <c r="X104" s="216"/>
    </row>
    <row r="105" spans="1:25" s="7" customFormat="1" x14ac:dyDescent="0.25">
      <c r="A105"/>
      <c r="B105"/>
      <c r="C105"/>
      <c r="D105"/>
      <c r="E105"/>
      <c r="F105"/>
      <c r="G105" s="296"/>
      <c r="H105" s="280"/>
      <c r="I105" s="1"/>
      <c r="J105" s="278"/>
      <c r="K105" s="280"/>
      <c r="L105" s="1"/>
      <c r="M105" s="294"/>
      <c r="N105" s="291"/>
      <c r="O105"/>
      <c r="P105"/>
      <c r="Q105"/>
      <c r="R105"/>
      <c r="S105" s="295"/>
      <c r="Y105"/>
    </row>
    <row r="106" spans="1:25" s="7" customFormat="1" x14ac:dyDescent="0.25">
      <c r="A106"/>
      <c r="B106" s="278"/>
      <c r="C106" s="278"/>
      <c r="D106" s="278"/>
      <c r="E106" s="279"/>
      <c r="F106" s="279"/>
      <c r="G106" s="296"/>
      <c r="H106" s="291"/>
      <c r="I106" s="1"/>
      <c r="J106" s="1"/>
      <c r="K106" s="1"/>
      <c r="L106" s="1"/>
      <c r="M106" s="294"/>
      <c r="N106" s="291"/>
      <c r="O106"/>
      <c r="P106"/>
      <c r="Q106"/>
      <c r="R106"/>
      <c r="S106"/>
      <c r="Y106"/>
    </row>
    <row r="107" spans="1:25" s="7" customFormat="1" x14ac:dyDescent="0.25">
      <c r="A107"/>
      <c r="B107" s="278"/>
      <c r="C107" s="278"/>
      <c r="D107" s="278"/>
      <c r="E107" s="280"/>
      <c r="F107" s="280"/>
      <c r="G107" s="301"/>
      <c r="H107" s="291"/>
      <c r="I107" s="1"/>
      <c r="J107" s="1"/>
      <c r="K107" s="1"/>
      <c r="L107" s="1"/>
      <c r="M107" s="294"/>
      <c r="N107" s="291"/>
      <c r="O107"/>
      <c r="P107"/>
      <c r="Q107"/>
      <c r="R107"/>
      <c r="S107"/>
      <c r="Y107"/>
    </row>
    <row r="108" spans="1:25" s="7" customFormat="1" x14ac:dyDescent="0.25">
      <c r="A108"/>
      <c r="B108" s="278"/>
      <c r="C108" s="1"/>
      <c r="D108" s="280"/>
      <c r="E108" s="280"/>
      <c r="F108" s="280"/>
      <c r="G108" s="296"/>
      <c r="H108" s="291"/>
      <c r="I108" s="1"/>
      <c r="J108" s="1"/>
      <c r="K108" s="1"/>
      <c r="L108" s="1"/>
      <c r="M108" s="294"/>
      <c r="N108" s="291"/>
      <c r="O108"/>
      <c r="P108"/>
      <c r="Q108"/>
      <c r="R108"/>
      <c r="S108"/>
      <c r="Y108"/>
    </row>
    <row r="109" spans="1:25" s="7" customFormat="1" x14ac:dyDescent="0.25">
      <c r="A109"/>
      <c r="B109" s="278"/>
      <c r="C109" s="280"/>
      <c r="D109" s="280"/>
      <c r="E109" s="286"/>
      <c r="F109" s="286"/>
      <c r="G109" s="296"/>
      <c r="H109" s="291"/>
      <c r="I109" s="1"/>
      <c r="J109" s="1"/>
      <c r="K109" s="1"/>
      <c r="L109" s="1"/>
      <c r="M109" s="294" t="s">
        <v>156</v>
      </c>
      <c r="N109" s="291"/>
      <c r="O109"/>
      <c r="P109"/>
      <c r="Q109"/>
      <c r="R109"/>
      <c r="S109"/>
      <c r="Y109"/>
    </row>
    <row r="110" spans="1:25" s="7" customFormat="1" x14ac:dyDescent="0.25">
      <c r="A110"/>
      <c r="B110" s="278" t="s">
        <v>60</v>
      </c>
      <c r="C110" s="1"/>
      <c r="D110" s="280" t="s">
        <v>157</v>
      </c>
      <c r="E110" s="302">
        <v>1.6400000000000001E-2</v>
      </c>
      <c r="F110" s="1"/>
      <c r="G110" s="296">
        <f>G4+G17+G33+G34+G35+G37+G38+G52+G53+G54+G55+G56+G60+G61</f>
        <v>869261329.75000012</v>
      </c>
      <c r="H110" s="291">
        <f>G110/G113</f>
        <v>0.82640291138057675</v>
      </c>
      <c r="I110" s="1"/>
      <c r="J110" s="1" t="s">
        <v>60</v>
      </c>
      <c r="K110" s="1"/>
      <c r="L110" s="1"/>
      <c r="M110" s="629">
        <f>G124</f>
        <v>869261329.75000012</v>
      </c>
      <c r="N110" s="291">
        <f>M110/M113</f>
        <v>0.82640291138057675</v>
      </c>
      <c r="O110"/>
      <c r="P110"/>
      <c r="Q110"/>
      <c r="R110"/>
      <c r="S110"/>
      <c r="Y110"/>
    </row>
    <row r="111" spans="1:25" s="7" customFormat="1" x14ac:dyDescent="0.25">
      <c r="A111"/>
      <c r="B111" t="s">
        <v>96</v>
      </c>
      <c r="C111"/>
      <c r="D111" s="280" t="s">
        <v>157</v>
      </c>
      <c r="E111" s="302">
        <v>4.1000000000000002E-2</v>
      </c>
      <c r="F111"/>
      <c r="G111" s="296">
        <f>G62+G65+G66+G67+G78+G79+G84+G90</f>
        <v>182584442.50999999</v>
      </c>
      <c r="H111" s="291">
        <f>G111/G113</f>
        <v>0.1735822240090435</v>
      </c>
      <c r="I111" s="1"/>
      <c r="J111" s="1" t="s">
        <v>96</v>
      </c>
      <c r="K111" s="1"/>
      <c r="L111" s="1"/>
      <c r="M111" s="629">
        <f>G139</f>
        <v>182584442.50999999</v>
      </c>
      <c r="N111" s="291">
        <f>M111/M113</f>
        <v>0.1735822240090435</v>
      </c>
      <c r="O111"/>
      <c r="P111"/>
      <c r="Q111"/>
      <c r="R111"/>
      <c r="S111"/>
      <c r="Y111"/>
    </row>
    <row r="112" spans="1:25" s="7" customFormat="1" x14ac:dyDescent="0.25">
      <c r="A112"/>
      <c r="B112" t="s">
        <v>158</v>
      </c>
      <c r="C112"/>
      <c r="D112"/>
      <c r="E112" s="304"/>
      <c r="F112"/>
      <c r="G112" s="296">
        <f>G93</f>
        <v>15635.51</v>
      </c>
      <c r="H112" s="291">
        <f>G112/G113</f>
        <v>1.4864610379753431E-5</v>
      </c>
      <c r="I112" s="1"/>
      <c r="J112" s="1" t="s">
        <v>159</v>
      </c>
      <c r="K112" s="1"/>
      <c r="L112" s="1"/>
      <c r="M112" s="629">
        <f>G147</f>
        <v>15635.51</v>
      </c>
      <c r="N112" s="291">
        <f>M112/M113</f>
        <v>1.4864610379753431E-5</v>
      </c>
      <c r="O112"/>
      <c r="P112"/>
      <c r="Q112"/>
      <c r="R112"/>
      <c r="S112"/>
      <c r="Y112"/>
    </row>
    <row r="113" spans="1:25" s="7" customFormat="1" x14ac:dyDescent="0.25">
      <c r="A113"/>
      <c r="B113"/>
      <c r="C113"/>
      <c r="D113"/>
      <c r="E113" s="302">
        <v>2.06E-2</v>
      </c>
      <c r="F113"/>
      <c r="G113" s="296">
        <f>G110+G111+G112</f>
        <v>1051861407.7700001</v>
      </c>
      <c r="H113" s="291">
        <f>SUM(H110:H112)</f>
        <v>1</v>
      </c>
      <c r="I113" s="1"/>
      <c r="J113" s="216" t="s">
        <v>160</v>
      </c>
      <c r="K113" s="216"/>
      <c r="L113" s="216"/>
      <c r="M113" s="629">
        <f>M110+M111+M112</f>
        <v>1051861407.7700001</v>
      </c>
      <c r="N113" s="291">
        <f>N110+N111+N112</f>
        <v>1</v>
      </c>
      <c r="O113"/>
      <c r="P113"/>
      <c r="Q113"/>
      <c r="R113"/>
      <c r="S113"/>
      <c r="Y113"/>
    </row>
    <row r="114" spans="1:25" s="7" customFormat="1" x14ac:dyDescent="0.25">
      <c r="A114"/>
      <c r="B114"/>
      <c r="C114"/>
      <c r="D114"/>
      <c r="E114" s="305"/>
      <c r="F114"/>
      <c r="G114" s="1"/>
      <c r="H114" s="291"/>
      <c r="I114" s="1"/>
      <c r="J114" s="1"/>
      <c r="K114" s="1"/>
      <c r="L114" s="1"/>
      <c r="M114" s="294"/>
      <c r="N114" s="291"/>
      <c r="O114"/>
      <c r="P114"/>
      <c r="Q114"/>
      <c r="R114"/>
      <c r="S114"/>
      <c r="Y114"/>
    </row>
    <row r="115" spans="1:25" s="7" customFormat="1" x14ac:dyDescent="0.25">
      <c r="A115"/>
      <c r="B115"/>
      <c r="C115"/>
      <c r="D115"/>
      <c r="E115"/>
      <c r="F115"/>
      <c r="G115" s="1"/>
      <c r="H115" s="291"/>
      <c r="I115" s="1"/>
      <c r="J115" s="1"/>
      <c r="K115" s="1"/>
      <c r="L115" s="1"/>
      <c r="M115" s="294"/>
      <c r="N115" s="291"/>
      <c r="O115"/>
      <c r="P115"/>
      <c r="Q115"/>
      <c r="R115"/>
      <c r="S115"/>
      <c r="Y115"/>
    </row>
    <row r="116" spans="1:25" s="7" customFormat="1" x14ac:dyDescent="0.25">
      <c r="A116"/>
      <c r="B116"/>
      <c r="C116"/>
      <c r="D116"/>
      <c r="E116"/>
      <c r="F116"/>
      <c r="G116" s="1"/>
      <c r="H116" s="291"/>
      <c r="I116" s="1"/>
      <c r="J116" s="1"/>
      <c r="K116" s="1"/>
      <c r="L116" s="1"/>
      <c r="M116" s="294"/>
      <c r="N116" s="291"/>
      <c r="O116"/>
      <c r="P116"/>
      <c r="Q116"/>
      <c r="R116"/>
      <c r="S116"/>
      <c r="Y116"/>
    </row>
    <row r="117" spans="1:25" x14ac:dyDescent="0.25">
      <c r="A117" s="545"/>
      <c r="B117" s="545"/>
      <c r="C117" s="545"/>
      <c r="D117" s="546"/>
      <c r="E117" s="545"/>
      <c r="F117" s="545"/>
      <c r="G117" s="547"/>
      <c r="H117" s="548"/>
      <c r="I117" s="545"/>
      <c r="J117" s="286"/>
      <c r="K117" s="548"/>
      <c r="L117" s="545"/>
      <c r="M117" s="545"/>
      <c r="N117" s="545"/>
      <c r="O117" s="548"/>
      <c r="P117" s="549"/>
      <c r="Q117" s="545"/>
      <c r="R117" s="545"/>
      <c r="S117" s="550"/>
      <c r="T117" s="550"/>
    </row>
    <row r="118" spans="1:25" s="7" customFormat="1" x14ac:dyDescent="0.25">
      <c r="A118" s="545"/>
      <c r="B118" s="545"/>
      <c r="C118" s="545"/>
      <c r="D118" s="286" t="s">
        <v>167</v>
      </c>
      <c r="E118" s="728"/>
      <c r="F118" s="545"/>
      <c r="G118" s="598">
        <f>G124</f>
        <v>869261329.75000012</v>
      </c>
      <c r="H118" s="596">
        <f>G118/G121</f>
        <v>0.82640291138057675</v>
      </c>
      <c r="I118" s="545"/>
      <c r="J118" s="286"/>
      <c r="K118" s="548"/>
      <c r="L118" s="545"/>
      <c r="M118" s="545"/>
      <c r="N118" s="545"/>
      <c r="O118" s="548"/>
      <c r="P118" s="549"/>
      <c r="Q118" s="545"/>
      <c r="R118" s="545"/>
      <c r="S118" s="552"/>
      <c r="T118" s="552"/>
      <c r="Y118"/>
    </row>
    <row r="119" spans="1:25" s="7" customFormat="1" x14ac:dyDescent="0.25">
      <c r="A119" s="545" t="s">
        <v>246</v>
      </c>
      <c r="B119" s="545" t="s">
        <v>247</v>
      </c>
      <c r="C119" s="545"/>
      <c r="D119" s="286" t="s">
        <v>248</v>
      </c>
      <c r="E119" s="729"/>
      <c r="F119" s="545"/>
      <c r="G119" s="598">
        <f>G139</f>
        <v>182584442.50999999</v>
      </c>
      <c r="H119" s="596">
        <f>G119/G121</f>
        <v>0.1735822240090435</v>
      </c>
      <c r="I119" s="545"/>
      <c r="J119" s="286"/>
      <c r="K119" s="548"/>
      <c r="L119" s="545"/>
      <c r="M119" s="545"/>
      <c r="N119" s="545"/>
      <c r="O119" s="548"/>
      <c r="P119" s="549"/>
      <c r="Q119" s="545"/>
      <c r="R119" s="545"/>
      <c r="S119" s="552"/>
      <c r="T119" s="552"/>
      <c r="Y119"/>
    </row>
    <row r="120" spans="1:25" s="7" customFormat="1" x14ac:dyDescent="0.25">
      <c r="A120" s="545">
        <v>2011</v>
      </c>
      <c r="B120" s="553" t="s">
        <v>249</v>
      </c>
      <c r="C120" s="545"/>
      <c r="D120" s="286"/>
      <c r="E120" s="728"/>
      <c r="F120" s="545"/>
      <c r="G120" s="598">
        <f>G147</f>
        <v>15635.51</v>
      </c>
      <c r="H120" s="596">
        <f>G120/G121</f>
        <v>1.4864610379753431E-5</v>
      </c>
      <c r="I120" s="545"/>
      <c r="J120" s="286"/>
      <c r="K120" s="548"/>
      <c r="L120" s="545"/>
      <c r="M120" s="545"/>
      <c r="N120" s="545"/>
      <c r="O120" s="548"/>
      <c r="P120" s="549"/>
      <c r="Q120" s="545"/>
      <c r="R120" s="545"/>
      <c r="S120" s="552"/>
      <c r="T120" s="552"/>
      <c r="Y120"/>
    </row>
    <row r="121" spans="1:25" s="7" customFormat="1" x14ac:dyDescent="0.25">
      <c r="A121" s="545">
        <v>2012</v>
      </c>
      <c r="B121" s="553" t="s">
        <v>250</v>
      </c>
      <c r="C121" s="545">
        <v>22.41</v>
      </c>
      <c r="D121" s="286"/>
      <c r="E121" s="729"/>
      <c r="F121" s="545"/>
      <c r="G121" s="600">
        <f>G118+G119+G120</f>
        <v>1051861407.7700001</v>
      </c>
      <c r="H121" s="596">
        <f>SUM(H118:H120)</f>
        <v>1</v>
      </c>
      <c r="I121" s="545"/>
      <c r="J121" s="286"/>
      <c r="K121" s="548"/>
      <c r="L121" s="545"/>
      <c r="M121" s="545"/>
      <c r="N121" s="545"/>
      <c r="O121" s="548"/>
      <c r="P121" s="549"/>
      <c r="Q121" s="545"/>
      <c r="R121" s="545"/>
      <c r="S121" s="552"/>
      <c r="T121" s="552"/>
      <c r="Y121"/>
    </row>
    <row r="122" spans="1:25" s="7" customFormat="1" x14ac:dyDescent="0.25">
      <c r="A122" s="545">
        <v>2013</v>
      </c>
      <c r="B122" s="545" t="s">
        <v>251</v>
      </c>
      <c r="C122" s="545"/>
      <c r="D122" s="546"/>
      <c r="E122" s="545"/>
      <c r="F122" s="545"/>
      <c r="G122" s="293"/>
      <c r="H122" s="596"/>
      <c r="I122" s="545"/>
      <c r="J122" s="286"/>
      <c r="K122" s="548"/>
      <c r="L122" s="545"/>
      <c r="M122" s="545"/>
      <c r="N122" s="545"/>
      <c r="O122" s="548"/>
      <c r="P122" s="549"/>
      <c r="Q122" s="545"/>
      <c r="R122" s="545"/>
      <c r="S122" s="552"/>
      <c r="T122" s="552"/>
      <c r="Y122"/>
    </row>
    <row r="123" spans="1:25" s="7" customFormat="1" ht="18.75" x14ac:dyDescent="0.3">
      <c r="A123" s="545">
        <v>2014</v>
      </c>
      <c r="B123" s="545" t="s">
        <v>252</v>
      </c>
      <c r="C123" s="546"/>
      <c r="D123" s="566" t="s">
        <v>345</v>
      </c>
      <c r="E123" s="566"/>
      <c r="F123" s="566"/>
      <c r="G123" s="630">
        <f>G124+G139+G147</f>
        <v>1051861407.7700001</v>
      </c>
      <c r="H123" s="596">
        <f t="shared" ref="H123:H147" si="10">G123/$G$121</f>
        <v>1</v>
      </c>
      <c r="I123" s="545"/>
      <c r="J123" s="545"/>
      <c r="K123" s="1"/>
      <c r="L123" s="1"/>
      <c r="M123" s="545"/>
      <c r="N123" s="545"/>
      <c r="O123" s="546"/>
      <c r="P123" s="556"/>
      <c r="Q123" s="546"/>
      <c r="R123" s="546"/>
      <c r="S123" s="552"/>
      <c r="T123" s="552"/>
      <c r="Y123"/>
    </row>
    <row r="124" spans="1:25" s="7" customFormat="1" x14ac:dyDescent="0.25">
      <c r="A124" s="545">
        <v>2015</v>
      </c>
      <c r="B124" s="557" t="s">
        <v>255</v>
      </c>
      <c r="C124" s="286"/>
      <c r="D124" s="558" t="s">
        <v>235</v>
      </c>
      <c r="E124" s="559"/>
      <c r="F124" s="559"/>
      <c r="G124" s="630">
        <f>SUM(G125:G138)</f>
        <v>869261329.75000012</v>
      </c>
      <c r="H124" s="597">
        <f t="shared" si="10"/>
        <v>0.82640291138057675</v>
      </c>
      <c r="I124" s="548" t="s">
        <v>253</v>
      </c>
      <c r="J124" s="631" t="s">
        <v>254</v>
      </c>
      <c r="K124" s="1"/>
      <c r="L124" s="1"/>
      <c r="M124" s="545"/>
      <c r="N124" s="545"/>
      <c r="O124" s="546"/>
      <c r="P124" s="556"/>
      <c r="Q124" s="546"/>
      <c r="R124" s="546"/>
      <c r="S124" s="546"/>
      <c r="T124" s="546"/>
      <c r="Y124"/>
    </row>
    <row r="125" spans="1:25" s="7" customFormat="1" x14ac:dyDescent="0.25">
      <c r="A125" s="545">
        <v>2016</v>
      </c>
      <c r="B125" s="557" t="s">
        <v>256</v>
      </c>
      <c r="C125" s="286"/>
      <c r="D125" s="560" t="s">
        <v>315</v>
      </c>
      <c r="E125" s="545"/>
      <c r="F125" s="545"/>
      <c r="G125" s="598">
        <f>G4</f>
        <v>217708522.95999998</v>
      </c>
      <c r="H125" s="597">
        <f t="shared" si="10"/>
        <v>0.20697453234029486</v>
      </c>
      <c r="I125" s="549">
        <v>1</v>
      </c>
      <c r="J125" s="549">
        <v>0.4</v>
      </c>
      <c r="K125" s="1"/>
      <c r="L125" s="1"/>
      <c r="M125" s="545"/>
      <c r="N125" s="545"/>
      <c r="O125" s="546"/>
      <c r="P125" s="556"/>
      <c r="Q125" s="546"/>
      <c r="R125" s="546"/>
      <c r="S125" s="546"/>
      <c r="T125" s="546"/>
      <c r="Y125"/>
    </row>
    <row r="126" spans="1:25" s="7" customFormat="1" x14ac:dyDescent="0.25">
      <c r="A126" s="546">
        <v>2017</v>
      </c>
      <c r="B126" s="557" t="s">
        <v>314</v>
      </c>
      <c r="C126" s="286"/>
      <c r="D126" s="560" t="s">
        <v>276</v>
      </c>
      <c r="E126" s="545"/>
      <c r="F126" s="545"/>
      <c r="G126" s="598">
        <f>G17</f>
        <v>425518417.94999999</v>
      </c>
      <c r="H126" s="597">
        <f t="shared" si="10"/>
        <v>0.40453848273806409</v>
      </c>
      <c r="I126" s="549">
        <v>1</v>
      </c>
      <c r="J126" s="549">
        <v>0.5</v>
      </c>
      <c r="K126" s="1"/>
      <c r="L126" s="1"/>
      <c r="M126" s="545"/>
      <c r="N126" s="545"/>
      <c r="O126" s="546"/>
      <c r="P126" s="556"/>
      <c r="Q126" s="546"/>
      <c r="R126" s="546"/>
      <c r="S126" s="546"/>
      <c r="T126" s="546"/>
      <c r="Y126"/>
    </row>
    <row r="127" spans="1:25" s="7" customFormat="1" x14ac:dyDescent="0.25">
      <c r="A127" s="546"/>
      <c r="B127" s="286"/>
      <c r="C127" s="286"/>
      <c r="D127" s="560" t="s">
        <v>277</v>
      </c>
      <c r="E127" s="545"/>
      <c r="F127" s="545"/>
      <c r="G127" s="598">
        <f>G33</f>
        <v>0</v>
      </c>
      <c r="H127" s="597">
        <f t="shared" si="10"/>
        <v>0</v>
      </c>
      <c r="I127" s="549">
        <v>1</v>
      </c>
      <c r="J127" s="549">
        <v>0</v>
      </c>
      <c r="K127" s="1"/>
      <c r="L127" s="1"/>
      <c r="M127" s="545"/>
      <c r="N127" s="545"/>
      <c r="O127" s="546"/>
      <c r="P127" s="556"/>
      <c r="Q127" s="546"/>
      <c r="R127" s="546"/>
      <c r="S127" s="546"/>
      <c r="T127" s="546"/>
      <c r="Y127"/>
    </row>
    <row r="128" spans="1:25" s="7" customFormat="1" x14ac:dyDescent="0.25">
      <c r="A128" s="546"/>
      <c r="B128" s="286"/>
      <c r="C128" s="286"/>
      <c r="D128" s="561" t="s">
        <v>278</v>
      </c>
      <c r="E128" s="548"/>
      <c r="F128" s="548"/>
      <c r="G128" s="598">
        <f>G34</f>
        <v>0</v>
      </c>
      <c r="H128" s="597">
        <f t="shared" si="10"/>
        <v>0</v>
      </c>
      <c r="I128" s="549">
        <v>0.05</v>
      </c>
      <c r="J128" s="549">
        <v>0</v>
      </c>
      <c r="K128" s="1"/>
      <c r="L128" s="1"/>
      <c r="M128" s="545"/>
      <c r="N128" s="545"/>
      <c r="O128" s="546"/>
      <c r="P128" s="556"/>
      <c r="Q128" s="546"/>
      <c r="R128" s="546"/>
      <c r="S128" s="546"/>
      <c r="T128" s="546"/>
      <c r="Y128"/>
    </row>
    <row r="129" spans="1:25" s="7" customFormat="1" x14ac:dyDescent="0.25">
      <c r="A129" s="546"/>
      <c r="B129" s="286"/>
      <c r="C129" s="286"/>
      <c r="D129" s="561" t="s">
        <v>279</v>
      </c>
      <c r="E129" s="548"/>
      <c r="F129" s="548"/>
      <c r="G129" s="598">
        <f>G35</f>
        <v>21439488.98</v>
      </c>
      <c r="H129" s="597">
        <f t="shared" si="10"/>
        <v>2.0382427591342869E-2</v>
      </c>
      <c r="I129" s="549">
        <v>0.6</v>
      </c>
      <c r="J129" s="549">
        <v>0.35</v>
      </c>
      <c r="K129" s="1"/>
      <c r="L129" s="1"/>
      <c r="M129" s="545"/>
      <c r="N129" s="545"/>
      <c r="O129" s="546"/>
      <c r="P129" s="556"/>
      <c r="Q129" s="546"/>
      <c r="R129" s="546"/>
      <c r="S129" s="546"/>
      <c r="T129" s="546"/>
      <c r="Y129"/>
    </row>
    <row r="130" spans="1:25" s="7" customFormat="1" x14ac:dyDescent="0.25">
      <c r="A130" s="546"/>
      <c r="B130" s="286"/>
      <c r="C130" s="545"/>
      <c r="D130" s="560" t="s">
        <v>280</v>
      </c>
      <c r="E130" s="548"/>
      <c r="F130" s="548"/>
      <c r="G130" s="598">
        <f>G37</f>
        <v>0</v>
      </c>
      <c r="H130" s="597">
        <f t="shared" si="10"/>
        <v>0</v>
      </c>
      <c r="I130" s="549">
        <v>0.6</v>
      </c>
      <c r="J130" s="549">
        <v>0</v>
      </c>
      <c r="K130" s="1"/>
      <c r="L130" s="1"/>
      <c r="M130" s="545"/>
      <c r="N130" s="545"/>
      <c r="O130" s="546"/>
      <c r="P130" s="556"/>
      <c r="Q130" s="546"/>
      <c r="R130" s="546"/>
      <c r="S130" s="546"/>
      <c r="T130" s="546"/>
      <c r="Y130"/>
    </row>
    <row r="131" spans="1:25" s="7" customFormat="1" x14ac:dyDescent="0.25">
      <c r="A131" s="546"/>
      <c r="B131" s="286"/>
      <c r="C131" s="548"/>
      <c r="D131" s="560" t="s">
        <v>281</v>
      </c>
      <c r="E131" s="286"/>
      <c r="F131" s="286"/>
      <c r="G131" s="598">
        <f>G38</f>
        <v>197333887.54000002</v>
      </c>
      <c r="H131" s="597">
        <f t="shared" si="10"/>
        <v>0.18760445633076123</v>
      </c>
      <c r="I131" s="549">
        <v>0.4</v>
      </c>
      <c r="J131" s="549">
        <v>0.3</v>
      </c>
      <c r="K131" s="1"/>
      <c r="L131" s="1"/>
      <c r="M131" s="545"/>
      <c r="N131" s="545"/>
      <c r="O131" s="546"/>
      <c r="P131" s="556"/>
      <c r="Q131" s="546"/>
      <c r="R131" s="546"/>
      <c r="S131" s="546"/>
      <c r="T131" s="546"/>
      <c r="Y131"/>
    </row>
    <row r="132" spans="1:25" s="7" customFormat="1" x14ac:dyDescent="0.25">
      <c r="A132" s="546"/>
      <c r="B132" s="286"/>
      <c r="C132" s="548"/>
      <c r="D132" s="560" t="s">
        <v>282</v>
      </c>
      <c r="E132" s="286"/>
      <c r="F132" s="286"/>
      <c r="G132" s="598">
        <f>G52</f>
        <v>0</v>
      </c>
      <c r="H132" s="597">
        <f t="shared" si="10"/>
        <v>0</v>
      </c>
      <c r="I132" s="549">
        <v>0.4</v>
      </c>
      <c r="J132" s="549">
        <v>0</v>
      </c>
      <c r="K132" s="549"/>
      <c r="L132" s="549"/>
      <c r="M132" s="545"/>
      <c r="N132" s="545"/>
      <c r="O132" s="546"/>
      <c r="P132" s="556"/>
      <c r="Q132" s="546"/>
      <c r="R132" s="546"/>
      <c r="S132" s="546"/>
      <c r="T132" s="546"/>
      <c r="Y132"/>
    </row>
    <row r="133" spans="1:25" s="7" customFormat="1" x14ac:dyDescent="0.25">
      <c r="A133" s="546"/>
      <c r="B133" s="286"/>
      <c r="C133" s="548"/>
      <c r="D133" s="560" t="s">
        <v>283</v>
      </c>
      <c r="E133" s="286"/>
      <c r="F133" s="286"/>
      <c r="G133" s="598">
        <f>G53</f>
        <v>0</v>
      </c>
      <c r="H133" s="597">
        <f t="shared" si="10"/>
        <v>0</v>
      </c>
      <c r="I133" s="549">
        <v>0.2</v>
      </c>
      <c r="J133" s="549">
        <v>0</v>
      </c>
      <c r="K133" s="549"/>
      <c r="L133" s="549"/>
      <c r="M133" s="545"/>
      <c r="N133" s="545"/>
      <c r="O133" s="546"/>
      <c r="P133" s="556"/>
      <c r="Q133" s="546"/>
      <c r="R133" s="546"/>
      <c r="S133" s="546"/>
      <c r="T133" s="546"/>
      <c r="Y133"/>
    </row>
    <row r="134" spans="1:25" s="7" customFormat="1" x14ac:dyDescent="0.25">
      <c r="A134" s="546"/>
      <c r="B134" s="286"/>
      <c r="C134" s="548"/>
      <c r="D134" s="560" t="s">
        <v>284</v>
      </c>
      <c r="E134" s="286"/>
      <c r="F134" s="286"/>
      <c r="G134" s="598">
        <f>G54</f>
        <v>0</v>
      </c>
      <c r="H134" s="597">
        <f t="shared" si="10"/>
        <v>0</v>
      </c>
      <c r="I134" s="549">
        <v>0.15</v>
      </c>
      <c r="J134" s="549">
        <v>0</v>
      </c>
      <c r="K134" s="549"/>
      <c r="L134" s="549"/>
      <c r="M134" s="545"/>
      <c r="N134" s="545"/>
      <c r="O134" s="546"/>
      <c r="P134" s="556"/>
      <c r="Q134" s="546"/>
      <c r="R134" s="546"/>
      <c r="S134" s="546"/>
      <c r="T134" s="546"/>
      <c r="Y134"/>
    </row>
    <row r="135" spans="1:25" s="7" customFormat="1" x14ac:dyDescent="0.25">
      <c r="A135" s="546"/>
      <c r="B135" s="286"/>
      <c r="C135" s="548"/>
      <c r="D135" s="560" t="s">
        <v>285</v>
      </c>
      <c r="E135" s="286"/>
      <c r="F135" s="286"/>
      <c r="G135" s="598">
        <f>G55</f>
        <v>0</v>
      </c>
      <c r="H135" s="597">
        <f t="shared" si="10"/>
        <v>0</v>
      </c>
      <c r="I135" s="549">
        <v>0.15</v>
      </c>
      <c r="J135" s="549">
        <v>0</v>
      </c>
      <c r="K135" s="549"/>
      <c r="L135" s="549"/>
      <c r="M135" s="545"/>
      <c r="N135" s="545"/>
      <c r="O135" s="546"/>
      <c r="P135" s="556"/>
      <c r="Q135" s="546"/>
      <c r="R135" s="546"/>
      <c r="S135" s="546"/>
      <c r="T135" s="546"/>
      <c r="Y135"/>
    </row>
    <row r="136" spans="1:25" s="7" customFormat="1" x14ac:dyDescent="0.25">
      <c r="A136" s="546"/>
      <c r="B136" s="286"/>
      <c r="C136" s="548"/>
      <c r="D136" s="560" t="s">
        <v>286</v>
      </c>
      <c r="E136" s="286"/>
      <c r="F136" s="286"/>
      <c r="G136" s="598">
        <f>G56</f>
        <v>7261012.3200000003</v>
      </c>
      <c r="H136" s="597">
        <f t="shared" si="10"/>
        <v>6.9030123801135717E-3</v>
      </c>
      <c r="I136" s="549">
        <v>0.05</v>
      </c>
      <c r="J136" s="549">
        <v>0.02</v>
      </c>
      <c r="K136" s="549"/>
      <c r="L136" s="549"/>
      <c r="M136" s="545"/>
      <c r="N136" s="545"/>
      <c r="O136" s="546"/>
      <c r="P136" s="556"/>
      <c r="Q136" s="546"/>
      <c r="R136" s="546"/>
      <c r="S136" s="546"/>
      <c r="T136" s="546"/>
      <c r="Y136"/>
    </row>
    <row r="137" spans="1:25" s="7" customFormat="1" x14ac:dyDescent="0.25">
      <c r="A137" s="546"/>
      <c r="B137" s="286"/>
      <c r="C137" s="548"/>
      <c r="D137" s="560" t="s">
        <v>287</v>
      </c>
      <c r="E137" s="286"/>
      <c r="F137" s="286"/>
      <c r="G137" s="598">
        <f>G60</f>
        <v>0</v>
      </c>
      <c r="H137" s="597">
        <f t="shared" si="10"/>
        <v>0</v>
      </c>
      <c r="I137" s="549">
        <v>0.05</v>
      </c>
      <c r="J137" s="549">
        <v>0.01</v>
      </c>
      <c r="K137" s="549"/>
      <c r="L137" s="549"/>
      <c r="M137" s="545"/>
      <c r="N137" s="545"/>
      <c r="O137" s="546"/>
      <c r="P137" s="556"/>
      <c r="Q137" s="546"/>
      <c r="R137" s="546"/>
      <c r="S137" s="546"/>
      <c r="T137" s="546"/>
      <c r="Y137"/>
    </row>
    <row r="138" spans="1:25" s="7" customFormat="1" x14ac:dyDescent="0.25">
      <c r="A138" s="546"/>
      <c r="B138" s="286"/>
      <c r="C138" s="548"/>
      <c r="D138" s="560" t="s">
        <v>288</v>
      </c>
      <c r="E138" s="286"/>
      <c r="F138" s="286"/>
      <c r="G138" s="598">
        <f>G61</f>
        <v>0</v>
      </c>
      <c r="H138" s="597">
        <f t="shared" si="10"/>
        <v>0</v>
      </c>
      <c r="I138" s="549">
        <v>0.05</v>
      </c>
      <c r="J138" s="549">
        <v>0</v>
      </c>
      <c r="K138" s="549"/>
      <c r="L138" s="549"/>
      <c r="M138" s="545"/>
      <c r="N138" s="545"/>
      <c r="O138" s="546"/>
      <c r="P138" s="556"/>
      <c r="Q138" s="546"/>
      <c r="R138" s="546"/>
      <c r="S138" s="546"/>
      <c r="T138" s="546"/>
      <c r="Y138"/>
    </row>
    <row r="139" spans="1:25" s="7" customFormat="1" x14ac:dyDescent="0.25">
      <c r="A139" s="546"/>
      <c r="B139" s="286"/>
      <c r="C139" s="548"/>
      <c r="D139" s="564" t="s">
        <v>275</v>
      </c>
      <c r="E139" s="565"/>
      <c r="F139" s="565"/>
      <c r="G139" s="598">
        <f>SUM(G140:G146)</f>
        <v>182584442.50999999</v>
      </c>
      <c r="H139" s="597">
        <f t="shared" si="10"/>
        <v>0.1735822240090435</v>
      </c>
      <c r="I139" s="549"/>
      <c r="J139" s="549"/>
      <c r="K139" s="549"/>
      <c r="L139" s="549"/>
      <c r="M139" s="545"/>
      <c r="N139" s="545"/>
      <c r="O139" s="546"/>
      <c r="P139" s="556"/>
      <c r="Q139" s="546"/>
      <c r="R139" s="546"/>
      <c r="S139" s="546"/>
      <c r="T139" s="546"/>
      <c r="Y139"/>
    </row>
    <row r="140" spans="1:25" s="7" customFormat="1" x14ac:dyDescent="0.25">
      <c r="A140" s="546"/>
      <c r="B140" s="286"/>
      <c r="C140" s="548"/>
      <c r="D140" s="560" t="s">
        <v>290</v>
      </c>
      <c r="E140" s="286"/>
      <c r="F140" s="286"/>
      <c r="G140" s="598">
        <f>G62</f>
        <v>59699030.150000006</v>
      </c>
      <c r="H140" s="597">
        <f t="shared" si="10"/>
        <v>5.6755604596773826E-2</v>
      </c>
      <c r="I140" s="549">
        <v>0.3</v>
      </c>
      <c r="J140" s="549">
        <v>0.15</v>
      </c>
      <c r="K140" s="549"/>
      <c r="L140" s="549"/>
      <c r="M140" s="545"/>
      <c r="N140" s="545"/>
      <c r="O140" s="546"/>
      <c r="P140" s="556"/>
      <c r="Q140" s="546"/>
      <c r="R140" s="546"/>
      <c r="S140" s="546"/>
      <c r="T140" s="546"/>
      <c r="Y140"/>
    </row>
    <row r="141" spans="1:25" s="7" customFormat="1" x14ac:dyDescent="0.25">
      <c r="A141" s="546"/>
      <c r="B141" s="286"/>
      <c r="C141" s="548"/>
      <c r="D141" s="560" t="s">
        <v>289</v>
      </c>
      <c r="E141" s="286"/>
      <c r="F141" s="286"/>
      <c r="G141" s="598">
        <f>G65</f>
        <v>0</v>
      </c>
      <c r="H141" s="597">
        <f t="shared" si="10"/>
        <v>0</v>
      </c>
      <c r="I141" s="549">
        <v>0.3</v>
      </c>
      <c r="J141" s="549">
        <v>0.02</v>
      </c>
      <c r="K141" s="549"/>
      <c r="L141" s="549"/>
      <c r="M141" s="545"/>
      <c r="N141" s="545"/>
      <c r="O141" s="546"/>
      <c r="P141" s="556"/>
      <c r="Q141" s="546"/>
      <c r="R141" s="546"/>
      <c r="S141" s="546"/>
      <c r="T141" s="546"/>
      <c r="Y141"/>
    </row>
    <row r="142" spans="1:25" s="7" customFormat="1" x14ac:dyDescent="0.25">
      <c r="A142" s="546"/>
      <c r="B142" s="286"/>
      <c r="C142" s="548"/>
      <c r="D142" s="560" t="s">
        <v>291</v>
      </c>
      <c r="E142" s="286"/>
      <c r="F142" s="286"/>
      <c r="G142" s="598">
        <f>G67</f>
        <v>86259743.340000004</v>
      </c>
      <c r="H142" s="597">
        <f t="shared" si="10"/>
        <v>8.200675745189194E-2</v>
      </c>
      <c r="I142" s="549">
        <v>0.2</v>
      </c>
      <c r="J142" s="549">
        <v>0.15</v>
      </c>
      <c r="K142" s="549"/>
      <c r="L142" s="549"/>
      <c r="M142" s="545"/>
      <c r="N142" s="545"/>
      <c r="O142" s="546"/>
      <c r="P142" s="556"/>
      <c r="Q142" s="546"/>
      <c r="R142" s="546"/>
      <c r="S142" s="546"/>
      <c r="T142" s="546"/>
      <c r="Y142"/>
    </row>
    <row r="143" spans="1:25" s="7" customFormat="1" x14ac:dyDescent="0.25">
      <c r="A143" s="546"/>
      <c r="B143" s="286"/>
      <c r="C143" s="548"/>
      <c r="D143" s="560" t="s">
        <v>292</v>
      </c>
      <c r="E143" s="286"/>
      <c r="F143" s="286"/>
      <c r="G143" s="598">
        <f>G78</f>
        <v>0</v>
      </c>
      <c r="H143" s="597">
        <f t="shared" si="10"/>
        <v>0</v>
      </c>
      <c r="I143" s="549">
        <v>0.2</v>
      </c>
      <c r="J143" s="549">
        <v>0</v>
      </c>
      <c r="K143" s="549"/>
      <c r="L143" s="549"/>
      <c r="M143" s="545"/>
      <c r="N143" s="545"/>
      <c r="O143" s="546"/>
      <c r="P143" s="556"/>
      <c r="Q143" s="546"/>
      <c r="R143" s="546"/>
      <c r="S143" s="546"/>
      <c r="T143" s="546"/>
      <c r="Y143"/>
    </row>
    <row r="144" spans="1:25" s="7" customFormat="1" x14ac:dyDescent="0.25">
      <c r="A144" s="546"/>
      <c r="B144" s="286"/>
      <c r="C144" s="548"/>
      <c r="D144" s="560" t="s">
        <v>293</v>
      </c>
      <c r="E144" s="286"/>
      <c r="F144" s="286"/>
      <c r="G144" s="598">
        <f>G79</f>
        <v>7223577.1400000006</v>
      </c>
      <c r="H144" s="597">
        <f t="shared" si="10"/>
        <v>6.8674229196357276E-3</v>
      </c>
      <c r="I144" s="549">
        <v>0.1</v>
      </c>
      <c r="J144" s="549">
        <v>0.03</v>
      </c>
      <c r="K144" s="549"/>
      <c r="L144" s="549"/>
      <c r="M144" s="545"/>
      <c r="N144" s="545"/>
      <c r="O144" s="546"/>
      <c r="P144" s="556"/>
      <c r="Q144" s="546"/>
      <c r="R144" s="546"/>
      <c r="S144" s="546"/>
      <c r="T144" s="546"/>
      <c r="Y144"/>
    </row>
    <row r="145" spans="1:25" s="7" customFormat="1" x14ac:dyDescent="0.25">
      <c r="A145" s="546"/>
      <c r="B145" s="286"/>
      <c r="C145" s="548"/>
      <c r="D145" s="560" t="s">
        <v>294</v>
      </c>
      <c r="E145" s="286"/>
      <c r="F145" s="286"/>
      <c r="G145" s="598">
        <f>G84</f>
        <v>16061596.93</v>
      </c>
      <c r="H145" s="597">
        <f t="shared" si="10"/>
        <v>1.5269689344389395E-2</v>
      </c>
      <c r="I145" s="549">
        <v>0.05</v>
      </c>
      <c r="J145" s="549">
        <v>0.03</v>
      </c>
      <c r="K145" s="549"/>
      <c r="L145" s="549"/>
      <c r="M145" s="545"/>
      <c r="N145" s="545"/>
      <c r="O145" s="546"/>
      <c r="P145" s="556"/>
      <c r="Q145" s="546"/>
      <c r="R145" s="546"/>
      <c r="S145" s="546"/>
      <c r="T145" s="546"/>
      <c r="Y145"/>
    </row>
    <row r="146" spans="1:25" s="7" customFormat="1" x14ac:dyDescent="0.25">
      <c r="A146" s="546"/>
      <c r="B146" s="286"/>
      <c r="C146" s="548"/>
      <c r="D146" s="560" t="s">
        <v>295</v>
      </c>
      <c r="E146" s="286"/>
      <c r="F146" s="286"/>
      <c r="G146" s="598">
        <f>G90</f>
        <v>13340494.949999999</v>
      </c>
      <c r="H146" s="597">
        <f t="shared" si="10"/>
        <v>1.2682749696352611E-2</v>
      </c>
      <c r="I146" s="549">
        <v>0.05</v>
      </c>
      <c r="J146" s="549">
        <v>0.03</v>
      </c>
      <c r="K146" s="549"/>
      <c r="L146" s="549"/>
      <c r="M146" s="545"/>
      <c r="N146" s="545"/>
      <c r="O146" s="546"/>
      <c r="P146" s="556"/>
      <c r="Q146" s="546"/>
      <c r="R146" s="546"/>
      <c r="S146" s="546"/>
      <c r="T146" s="546"/>
      <c r="Y146"/>
    </row>
    <row r="147" spans="1:25" s="7" customFormat="1" x14ac:dyDescent="0.25">
      <c r="A147" s="546"/>
      <c r="B147" s="286"/>
      <c r="C147" s="548"/>
      <c r="D147" s="564" t="s">
        <v>159</v>
      </c>
      <c r="E147" s="565"/>
      <c r="F147" s="565"/>
      <c r="G147" s="598">
        <f>G93</f>
        <v>15635.51</v>
      </c>
      <c r="H147" s="597">
        <f t="shared" si="10"/>
        <v>1.4864610379753431E-5</v>
      </c>
      <c r="I147" s="549"/>
      <c r="J147" s="549"/>
      <c r="K147" s="549"/>
      <c r="L147" s="549"/>
      <c r="M147" s="545"/>
      <c r="N147" s="545"/>
      <c r="O147" s="546"/>
      <c r="P147" s="556"/>
      <c r="Q147" s="546"/>
      <c r="R147" s="546"/>
      <c r="S147" s="546"/>
      <c r="T147" s="546"/>
      <c r="Y147"/>
    </row>
    <row r="148" spans="1:25" s="7" customFormat="1" x14ac:dyDescent="0.25">
      <c r="A148" s="546"/>
      <c r="B148" s="286"/>
      <c r="C148" s="548"/>
      <c r="D148" s="560"/>
      <c r="E148" s="286"/>
      <c r="F148" s="286"/>
      <c r="G148" s="598"/>
      <c r="H148" s="597"/>
      <c r="I148" s="545"/>
      <c r="J148" s="549"/>
      <c r="K148" s="549"/>
      <c r="L148" s="549"/>
      <c r="M148" s="545"/>
      <c r="N148" s="545"/>
      <c r="O148" s="546"/>
      <c r="P148" s="556"/>
      <c r="Q148" s="546"/>
      <c r="R148" s="546"/>
      <c r="S148" s="546"/>
      <c r="T148" s="546"/>
      <c r="Y148"/>
    </row>
    <row r="149" spans="1:25" s="7" customFormat="1" x14ac:dyDescent="0.25">
      <c r="A149" s="546"/>
      <c r="B149" s="546"/>
      <c r="C149" s="546"/>
      <c r="D149" s="546"/>
      <c r="E149" s="546"/>
      <c r="F149" s="546"/>
      <c r="G149" s="598"/>
      <c r="H149" s="597"/>
      <c r="I149" s="545"/>
      <c r="J149" s="545"/>
      <c r="K149" s="545"/>
      <c r="L149" s="545"/>
      <c r="M149" s="545"/>
      <c r="N149" s="545"/>
      <c r="O149" s="546"/>
      <c r="P149" s="556"/>
      <c r="Q149" s="546"/>
      <c r="R149" s="546"/>
      <c r="S149" s="546"/>
      <c r="T149" s="546"/>
      <c r="Y149"/>
    </row>
    <row r="150" spans="1:25" s="7" customFormat="1" x14ac:dyDescent="0.25">
      <c r="A150" s="546"/>
      <c r="B150" s="546"/>
      <c r="C150" s="546"/>
      <c r="D150" s="546"/>
      <c r="E150" s="546"/>
      <c r="F150" s="546"/>
      <c r="G150" s="598"/>
      <c r="H150" s="597"/>
      <c r="I150" s="545"/>
      <c r="J150" s="545"/>
      <c r="K150" s="545"/>
      <c r="L150" s="545"/>
      <c r="M150" s="545"/>
      <c r="N150" s="545"/>
      <c r="O150" s="546"/>
      <c r="P150" s="556"/>
      <c r="Q150" s="546"/>
      <c r="R150" s="546"/>
      <c r="S150" s="546"/>
      <c r="T150" s="546"/>
      <c r="Y150"/>
    </row>
    <row r="151" spans="1:25" s="7" customFormat="1" x14ac:dyDescent="0.25">
      <c r="A151" s="546"/>
      <c r="B151" s="546"/>
      <c r="C151" s="546"/>
      <c r="D151" s="546" t="s">
        <v>20</v>
      </c>
      <c r="E151" s="546"/>
      <c r="F151" s="546"/>
      <c r="G151" s="606">
        <f>G5+G6+G7+G8+G9+G10+G13+G14+G15+G16</f>
        <v>162005765.59</v>
      </c>
      <c r="H151" s="597">
        <f t="shared" ref="H151:H172" si="11">G151/$G$97</f>
        <v>0.15401816664560447</v>
      </c>
      <c r="I151" s="545"/>
      <c r="J151" s="545"/>
      <c r="K151" s="545"/>
      <c r="L151" s="545"/>
      <c r="M151" s="545"/>
      <c r="N151" s="545"/>
      <c r="O151" s="546"/>
      <c r="P151" s="556"/>
      <c r="Q151" s="546"/>
      <c r="R151" s="546"/>
      <c r="S151" s="546"/>
      <c r="T151" s="546"/>
      <c r="Y151"/>
    </row>
    <row r="152" spans="1:25" s="7" customFormat="1" x14ac:dyDescent="0.25">
      <c r="A152" s="546"/>
      <c r="B152" s="546"/>
      <c r="C152" s="546"/>
      <c r="D152" s="546" t="s">
        <v>257</v>
      </c>
      <c r="E152" s="546"/>
      <c r="F152" s="546"/>
      <c r="G152" s="607">
        <f>G28+G29+G30+G31+G36+G66+G76</f>
        <v>220767020.82000002</v>
      </c>
      <c r="H152" s="597">
        <f t="shared" si="11"/>
        <v>0.209882232763</v>
      </c>
      <c r="I152" s="545"/>
      <c r="J152" s="545"/>
      <c r="K152" s="545"/>
      <c r="L152" s="545"/>
      <c r="M152" s="545"/>
      <c r="N152" s="545"/>
      <c r="O152" s="546"/>
      <c r="P152" s="556"/>
      <c r="Q152" s="546"/>
      <c r="R152" s="546"/>
      <c r="S152" s="546"/>
      <c r="T152" s="546"/>
      <c r="Y152"/>
    </row>
    <row r="153" spans="1:25" s="7" customFormat="1" x14ac:dyDescent="0.25">
      <c r="A153" s="546"/>
      <c r="B153" s="546"/>
      <c r="C153" s="546"/>
      <c r="D153" s="546" t="s">
        <v>258</v>
      </c>
      <c r="E153" s="546"/>
      <c r="F153" s="546"/>
      <c r="G153" s="607" t="e">
        <f>G22+G23+#REF!+#REF!+#REF!</f>
        <v>#REF!</v>
      </c>
      <c r="H153" s="597" t="e">
        <f t="shared" si="11"/>
        <v>#REF!</v>
      </c>
      <c r="I153" s="545"/>
      <c r="J153" s="545"/>
      <c r="K153" s="545"/>
      <c r="L153" s="545"/>
      <c r="M153" s="545"/>
      <c r="N153" s="545"/>
      <c r="O153" s="546"/>
      <c r="P153" s="556"/>
      <c r="Q153" s="546"/>
      <c r="R153" s="546"/>
      <c r="S153" s="546"/>
      <c r="T153" s="546"/>
      <c r="Y153"/>
    </row>
    <row r="154" spans="1:25" s="7" customFormat="1" x14ac:dyDescent="0.25">
      <c r="A154" s="546"/>
      <c r="B154" s="546"/>
      <c r="C154" s="546"/>
      <c r="D154" s="546" t="s">
        <v>259</v>
      </c>
      <c r="E154" s="546"/>
      <c r="F154" s="546"/>
      <c r="G154" s="607">
        <f>G26+G44+G45+G46+G47+G63+G68+G82+G83+G69+G70</f>
        <v>99074435.850000009</v>
      </c>
      <c r="H154" s="597">
        <f>G154/$G$97</f>
        <v>9.4189629088154175E-2</v>
      </c>
      <c r="I154" s="545"/>
      <c r="J154" s="545"/>
      <c r="K154" s="545"/>
      <c r="L154" s="545"/>
      <c r="M154" s="545"/>
      <c r="N154" s="545"/>
      <c r="O154" s="546"/>
      <c r="P154" s="556"/>
      <c r="Q154" s="546"/>
      <c r="R154" s="546"/>
      <c r="S154" s="546"/>
      <c r="T154" s="546"/>
      <c r="Y154"/>
    </row>
    <row r="155" spans="1:25" s="7" customFormat="1" x14ac:dyDescent="0.25">
      <c r="A155" s="546"/>
      <c r="B155" s="546"/>
      <c r="C155" s="546"/>
      <c r="D155" s="546" t="s">
        <v>62</v>
      </c>
      <c r="E155" s="546"/>
      <c r="F155" s="546"/>
      <c r="G155" s="607" t="e">
        <f>#REF!+#REF!+#REF!+G51</f>
        <v>#REF!</v>
      </c>
      <c r="H155" s="597" t="e">
        <f t="shared" si="11"/>
        <v>#REF!</v>
      </c>
      <c r="I155" s="545"/>
      <c r="J155" s="545"/>
      <c r="K155" s="545"/>
      <c r="L155" s="545"/>
      <c r="M155" s="545"/>
      <c r="N155" s="545"/>
      <c r="O155" s="546"/>
      <c r="P155" s="556"/>
      <c r="Q155" s="546"/>
      <c r="R155" s="546"/>
      <c r="S155" s="546"/>
      <c r="T155" s="546"/>
      <c r="Y155"/>
    </row>
    <row r="156" spans="1:25" s="7" customFormat="1" x14ac:dyDescent="0.25">
      <c r="A156" s="546"/>
      <c r="B156" s="546"/>
      <c r="C156" s="546"/>
      <c r="D156" s="546" t="s">
        <v>35</v>
      </c>
      <c r="E156" s="546"/>
      <c r="F156" s="546"/>
      <c r="G156" s="607">
        <f>G18+G20+G39+G40+G41+G19+G21</f>
        <v>131047312.92</v>
      </c>
      <c r="H156" s="597">
        <f t="shared" si="11"/>
        <v>0.12458610226781397</v>
      </c>
      <c r="I156" s="545"/>
      <c r="J156" s="545"/>
      <c r="K156" s="545"/>
      <c r="L156" s="545"/>
      <c r="M156" s="545"/>
      <c r="N156" s="545"/>
      <c r="O156" s="546"/>
      <c r="P156" s="556"/>
      <c r="Q156" s="546"/>
      <c r="R156" s="546"/>
      <c r="S156" s="546"/>
      <c r="T156" s="546"/>
      <c r="Y156"/>
    </row>
    <row r="157" spans="1:25" s="7" customFormat="1" x14ac:dyDescent="0.25">
      <c r="A157" s="546"/>
      <c r="B157" s="546"/>
      <c r="C157" s="546"/>
      <c r="D157" s="546" t="s">
        <v>260</v>
      </c>
      <c r="E157" s="546"/>
      <c r="F157" s="546"/>
      <c r="G157" s="607">
        <f>G43+G72+G73+G74+G75</f>
        <v>49858977.810000002</v>
      </c>
      <c r="H157" s="597">
        <f t="shared" si="11"/>
        <v>4.740071024727828E-2</v>
      </c>
      <c r="I157" s="545"/>
      <c r="J157" s="545"/>
      <c r="K157" s="545"/>
      <c r="L157" s="545"/>
      <c r="M157" s="545"/>
      <c r="N157" s="545"/>
      <c r="O157" s="546"/>
      <c r="P157" s="556"/>
      <c r="Q157" s="546"/>
      <c r="R157" s="546"/>
      <c r="S157" s="546"/>
      <c r="T157" s="546"/>
      <c r="Y157"/>
    </row>
    <row r="158" spans="1:25" s="7" customFormat="1" x14ac:dyDescent="0.25">
      <c r="A158" s="546"/>
      <c r="B158" s="546"/>
      <c r="C158" s="546"/>
      <c r="D158" s="546" t="s">
        <v>265</v>
      </c>
      <c r="E158" s="546"/>
      <c r="F158" s="546"/>
      <c r="G158" s="606">
        <f>G80+G81+G64+G32</f>
        <v>34937065.920000002</v>
      </c>
      <c r="H158" s="597">
        <f>G158/$G$97</f>
        <v>3.3214514442609283E-2</v>
      </c>
      <c r="I158" s="545"/>
      <c r="J158" s="545"/>
      <c r="K158" s="545"/>
      <c r="L158" s="545"/>
      <c r="M158" s="545"/>
      <c r="N158" s="545"/>
      <c r="O158" s="546"/>
      <c r="P158" s="556"/>
      <c r="Q158" s="546"/>
      <c r="R158" s="546"/>
      <c r="S158" s="546"/>
      <c r="T158" s="546"/>
      <c r="Y158"/>
    </row>
    <row r="159" spans="1:25" s="7" customFormat="1" x14ac:dyDescent="0.25">
      <c r="A159" s="546"/>
      <c r="B159" s="546"/>
      <c r="C159" s="546"/>
      <c r="D159" s="546" t="s">
        <v>261</v>
      </c>
      <c r="E159" s="546"/>
      <c r="F159" s="546"/>
      <c r="G159" s="606">
        <f>G71</f>
        <v>22560688.949999999</v>
      </c>
      <c r="H159" s="597">
        <f t="shared" si="11"/>
        <v>2.1448347456562565E-2</v>
      </c>
      <c r="I159" s="545"/>
      <c r="J159" s="545"/>
      <c r="K159" s="545"/>
      <c r="L159" s="545"/>
      <c r="M159" s="545"/>
      <c r="N159" s="545"/>
      <c r="O159" s="546"/>
      <c r="P159" s="556"/>
      <c r="Q159" s="546"/>
      <c r="R159" s="546"/>
      <c r="S159" s="546"/>
      <c r="T159" s="546"/>
      <c r="Y159"/>
    </row>
    <row r="160" spans="1:25" s="7" customFormat="1" x14ac:dyDescent="0.25">
      <c r="A160" s="546"/>
      <c r="B160" s="546"/>
      <c r="C160" s="546"/>
      <c r="D160" s="546" t="s">
        <v>46</v>
      </c>
      <c r="E160" s="546"/>
      <c r="F160" s="546"/>
      <c r="G160" s="606">
        <f>G27</f>
        <v>12492531.26</v>
      </c>
      <c r="H160" s="597">
        <f t="shared" si="11"/>
        <v>1.1876594357126196E-2</v>
      </c>
      <c r="I160" s="545"/>
      <c r="J160" s="545"/>
      <c r="K160" s="545"/>
      <c r="L160" s="545"/>
      <c r="M160" s="545"/>
      <c r="N160" s="545"/>
      <c r="O160" s="546"/>
      <c r="P160" s="556"/>
      <c r="Q160" s="546"/>
      <c r="R160" s="546"/>
      <c r="S160" s="546"/>
      <c r="T160" s="546"/>
      <c r="Y160"/>
    </row>
    <row r="161" spans="1:25" s="7" customFormat="1" x14ac:dyDescent="0.25">
      <c r="A161" s="546"/>
      <c r="B161" s="546"/>
      <c r="C161" s="546"/>
      <c r="D161" s="546" t="s">
        <v>262</v>
      </c>
      <c r="E161" s="546"/>
      <c r="F161" s="546"/>
      <c r="G161" s="606">
        <f>G92</f>
        <v>9190494.9499999993</v>
      </c>
      <c r="H161" s="597">
        <f t="shared" si="11"/>
        <v>8.7373630043945782E-3</v>
      </c>
      <c r="I161" s="545"/>
      <c r="J161" s="545"/>
      <c r="K161" s="545"/>
      <c r="L161" s="545"/>
      <c r="M161" s="545"/>
      <c r="N161" s="545"/>
      <c r="O161" s="546"/>
      <c r="P161" s="556"/>
      <c r="Q161" s="546"/>
      <c r="R161" s="546"/>
      <c r="S161" s="546"/>
      <c r="T161" s="546"/>
      <c r="Y161"/>
    </row>
    <row r="162" spans="1:25" s="7" customFormat="1" x14ac:dyDescent="0.25">
      <c r="A162" s="546"/>
      <c r="B162" s="546"/>
      <c r="C162" s="546"/>
      <c r="D162" s="546" t="s">
        <v>263</v>
      </c>
      <c r="E162" s="546"/>
      <c r="F162" s="546"/>
      <c r="G162" s="606">
        <f>G85+G86+G87</f>
        <v>14387169.359999999</v>
      </c>
      <c r="H162" s="597">
        <f t="shared" si="11"/>
        <v>1.367781844045551E-2</v>
      </c>
      <c r="I162" s="545"/>
      <c r="J162" s="545"/>
      <c r="K162" s="545"/>
      <c r="L162" s="545"/>
      <c r="M162" s="545"/>
      <c r="N162" s="545"/>
      <c r="O162" s="546"/>
      <c r="P162" s="556"/>
      <c r="Q162" s="546"/>
      <c r="R162" s="546"/>
      <c r="S162" s="546"/>
      <c r="T162" s="546"/>
      <c r="Y162"/>
    </row>
    <row r="163" spans="1:25" s="7" customFormat="1" x14ac:dyDescent="0.25">
      <c r="A163" s="546"/>
      <c r="B163" s="546"/>
      <c r="C163" s="546"/>
      <c r="D163" s="546" t="s">
        <v>57</v>
      </c>
      <c r="E163" s="546"/>
      <c r="F163" s="546"/>
      <c r="G163" s="607"/>
      <c r="H163" s="597">
        <f>G163/$G$97</f>
        <v>0</v>
      </c>
      <c r="I163" s="545"/>
      <c r="J163" s="545"/>
      <c r="K163" s="545"/>
      <c r="L163" s="545"/>
      <c r="M163" s="545"/>
      <c r="N163" s="545"/>
      <c r="O163" s="546"/>
      <c r="P163" s="556"/>
      <c r="Q163" s="546"/>
      <c r="R163" s="546"/>
      <c r="S163" s="546"/>
      <c r="T163" s="546"/>
      <c r="Y163"/>
    </row>
    <row r="164" spans="1:25" s="7" customFormat="1" x14ac:dyDescent="0.25">
      <c r="A164" s="546"/>
      <c r="B164" s="546"/>
      <c r="C164" s="546"/>
      <c r="D164" s="546" t="s">
        <v>82</v>
      </c>
      <c r="E164" s="546"/>
      <c r="F164" s="546"/>
      <c r="G164" s="606">
        <f>G57</f>
        <v>7185505.3899999997</v>
      </c>
      <c r="H164" s="597">
        <f t="shared" si="11"/>
        <v>6.8312282748671594E-3</v>
      </c>
      <c r="I164" s="545"/>
      <c r="J164" s="545"/>
      <c r="K164" s="545"/>
      <c r="L164" s="545"/>
      <c r="M164" s="545"/>
      <c r="N164" s="545"/>
      <c r="O164" s="546"/>
      <c r="P164" s="556"/>
      <c r="Q164" s="546"/>
      <c r="R164" s="546"/>
      <c r="S164" s="546"/>
      <c r="T164" s="546"/>
      <c r="Y164"/>
    </row>
    <row r="165" spans="1:25" s="7" customFormat="1" x14ac:dyDescent="0.25">
      <c r="A165" s="546"/>
      <c r="B165" s="546"/>
      <c r="C165" s="546"/>
      <c r="D165" s="546" t="s">
        <v>264</v>
      </c>
      <c r="E165" s="546"/>
      <c r="F165" s="546"/>
      <c r="G165" s="606">
        <f>G91</f>
        <v>4150000</v>
      </c>
      <c r="H165" s="597">
        <f t="shared" si="11"/>
        <v>3.9453866919580329E-3</v>
      </c>
      <c r="I165" s="545"/>
      <c r="J165" s="545"/>
      <c r="K165" s="545"/>
      <c r="L165" s="545"/>
      <c r="M165" s="545"/>
      <c r="N165" s="545"/>
      <c r="O165" s="546"/>
      <c r="P165" s="556"/>
      <c r="Q165" s="546"/>
      <c r="R165" s="546"/>
      <c r="S165" s="546"/>
      <c r="T165" s="546"/>
      <c r="Y165"/>
    </row>
    <row r="166" spans="1:25" s="7" customFormat="1" x14ac:dyDescent="0.25">
      <c r="A166" s="546"/>
      <c r="B166" s="546"/>
      <c r="C166" s="546"/>
      <c r="D166" s="546" t="s">
        <v>266</v>
      </c>
      <c r="E166" s="546"/>
      <c r="F166" s="546"/>
      <c r="G166" s="606">
        <f>G77</f>
        <v>4232949.9800000004</v>
      </c>
      <c r="H166" s="597">
        <f t="shared" si="11"/>
        <v>4.024246872003861E-3</v>
      </c>
      <c r="I166" s="545"/>
      <c r="J166" s="545"/>
      <c r="K166" s="545"/>
      <c r="L166" s="545"/>
      <c r="M166" s="545"/>
      <c r="N166" s="545"/>
      <c r="O166" s="546"/>
      <c r="P166" s="556"/>
      <c r="Q166" s="546"/>
      <c r="R166" s="546"/>
      <c r="S166" s="546"/>
      <c r="T166" s="546"/>
      <c r="Y166"/>
    </row>
    <row r="167" spans="1:25" s="7" customFormat="1" x14ac:dyDescent="0.25">
      <c r="A167" s="546"/>
      <c r="B167" s="546"/>
      <c r="C167" s="546"/>
      <c r="D167" s="546" t="s">
        <v>267</v>
      </c>
      <c r="E167" s="546"/>
      <c r="F167" s="546"/>
      <c r="G167" s="607">
        <f>G89</f>
        <v>1271720.0900000001</v>
      </c>
      <c r="H167" s="597">
        <f t="shared" si="11"/>
        <v>1.209018679272692E-3</v>
      </c>
      <c r="I167" s="545"/>
      <c r="J167" s="545"/>
      <c r="K167" s="545"/>
      <c r="L167" s="545"/>
      <c r="M167" s="545"/>
      <c r="N167" s="545"/>
      <c r="O167" s="546"/>
      <c r="P167" s="556"/>
      <c r="Q167" s="546"/>
      <c r="R167" s="546"/>
      <c r="S167" s="546"/>
      <c r="T167" s="546"/>
      <c r="Y167"/>
    </row>
    <row r="168" spans="1:25" s="7" customFormat="1" x14ac:dyDescent="0.25">
      <c r="A168" s="546"/>
      <c r="B168" s="546"/>
      <c r="C168" s="546"/>
      <c r="D168" s="546" t="s">
        <v>268</v>
      </c>
      <c r="E168" s="546"/>
      <c r="F168" s="546"/>
      <c r="G168" s="607">
        <f>G88</f>
        <v>402707.48</v>
      </c>
      <c r="H168" s="597">
        <f t="shared" si="11"/>
        <v>3.8285222466119409E-4</v>
      </c>
      <c r="I168" s="545"/>
      <c r="J168" s="545"/>
      <c r="K168" s="545"/>
      <c r="L168" s="545"/>
      <c r="M168" s="545"/>
      <c r="N168" s="545"/>
      <c r="O168" s="546"/>
      <c r="P168" s="556"/>
      <c r="Q168" s="546"/>
      <c r="R168" s="546"/>
      <c r="S168" s="546"/>
      <c r="T168" s="546"/>
      <c r="Y168"/>
    </row>
    <row r="169" spans="1:25" s="7" customFormat="1" x14ac:dyDescent="0.25">
      <c r="A169" s="546"/>
      <c r="B169" s="546"/>
      <c r="C169" s="546"/>
      <c r="D169" s="546" t="s">
        <v>269</v>
      </c>
      <c r="E169" s="546"/>
      <c r="F169" s="546"/>
      <c r="G169" s="607">
        <f>G59</f>
        <v>40108.9</v>
      </c>
      <c r="H169" s="597">
        <f t="shared" si="11"/>
        <v>3.8131354286524229E-5</v>
      </c>
      <c r="I169" s="545"/>
      <c r="J169" s="545"/>
      <c r="K169" s="545"/>
      <c r="L169" s="545"/>
      <c r="M169" s="545"/>
      <c r="N169" s="545"/>
      <c r="O169" s="546"/>
      <c r="P169" s="556"/>
      <c r="Q169" s="546"/>
      <c r="R169" s="546"/>
      <c r="S169" s="546"/>
      <c r="T169" s="546"/>
      <c r="Y169"/>
    </row>
    <row r="170" spans="1:25" s="7" customFormat="1" x14ac:dyDescent="0.25">
      <c r="A170" s="546"/>
      <c r="B170" s="546"/>
      <c r="C170" s="546"/>
      <c r="D170" s="546" t="s">
        <v>86</v>
      </c>
      <c r="E170" s="546"/>
      <c r="F170" s="546"/>
      <c r="G170" s="607">
        <f>G58</f>
        <v>35398.03</v>
      </c>
      <c r="H170" s="597">
        <f t="shared" si="11"/>
        <v>3.3652750959887037E-5</v>
      </c>
      <c r="I170" s="545"/>
      <c r="J170" s="545"/>
      <c r="K170" s="545"/>
      <c r="L170" s="545"/>
      <c r="M170" s="545"/>
      <c r="N170" s="545"/>
      <c r="O170" s="546"/>
      <c r="P170" s="556"/>
      <c r="Q170" s="546"/>
      <c r="R170" s="546"/>
      <c r="S170" s="546"/>
      <c r="T170" s="546"/>
      <c r="Y170"/>
    </row>
    <row r="171" spans="1:25" s="7" customFormat="1" x14ac:dyDescent="0.25">
      <c r="A171" s="546"/>
      <c r="B171" s="546"/>
      <c r="C171" s="546"/>
      <c r="D171" s="546"/>
      <c r="E171" s="546"/>
      <c r="F171" s="546"/>
      <c r="G171" s="595"/>
      <c r="H171" s="597">
        <f t="shared" si="11"/>
        <v>0</v>
      </c>
      <c r="I171" s="545"/>
      <c r="J171" s="545"/>
      <c r="K171" s="545"/>
      <c r="L171" s="545"/>
      <c r="M171" s="545"/>
      <c r="N171" s="545"/>
      <c r="O171" s="546"/>
      <c r="P171" s="556"/>
      <c r="Q171" s="546"/>
      <c r="R171" s="546"/>
      <c r="S171" s="546"/>
      <c r="T171" s="546"/>
      <c r="Y171"/>
    </row>
    <row r="172" spans="1:25" s="7" customFormat="1" x14ac:dyDescent="0.25">
      <c r="A172" s="546"/>
      <c r="B172" s="546"/>
      <c r="C172" s="546"/>
      <c r="D172" s="546" t="s">
        <v>270</v>
      </c>
      <c r="E172" s="546"/>
      <c r="F172" s="546"/>
      <c r="G172" s="606">
        <f>G93</f>
        <v>15635.51</v>
      </c>
      <c r="H172" s="597">
        <f t="shared" si="11"/>
        <v>1.4864610379753431E-5</v>
      </c>
      <c r="I172" s="545"/>
      <c r="J172" s="545"/>
      <c r="K172" s="545"/>
      <c r="L172" s="545"/>
      <c r="M172" s="545"/>
      <c r="N172" s="545"/>
      <c r="O172" s="546"/>
      <c r="P172" s="556"/>
      <c r="Q172" s="546"/>
      <c r="R172" s="546"/>
      <c r="S172" s="546"/>
      <c r="T172" s="546"/>
      <c r="Y172"/>
    </row>
    <row r="173" spans="1:25" s="7" customFormat="1" ht="15.75" thickBot="1" x14ac:dyDescent="0.3">
      <c r="A173" s="546"/>
      <c r="B173" s="546"/>
      <c r="C173" s="546"/>
      <c r="D173" s="546"/>
      <c r="E173" s="546"/>
      <c r="F173" s="546"/>
      <c r="G173" s="595"/>
      <c r="H173" s="597"/>
      <c r="I173" s="545"/>
      <c r="J173" s="545"/>
      <c r="K173" s="545"/>
      <c r="L173" s="545"/>
      <c r="M173" s="545"/>
      <c r="N173" s="545"/>
      <c r="O173" s="546"/>
      <c r="P173" s="556"/>
      <c r="Q173" s="546"/>
      <c r="R173" s="546"/>
      <c r="S173" s="546"/>
      <c r="T173" s="546"/>
      <c r="Y173"/>
    </row>
    <row r="174" spans="1:25" s="7" customFormat="1" ht="15.75" thickBot="1" x14ac:dyDescent="0.3">
      <c r="A174" s="546"/>
      <c r="B174" s="546"/>
      <c r="C174" s="546"/>
      <c r="D174" s="546"/>
      <c r="E174" s="562"/>
      <c r="F174" s="546"/>
      <c r="G174" s="608" t="e">
        <f>SUM(G151:G173)</f>
        <v>#REF!</v>
      </c>
      <c r="H174" s="597" t="e">
        <f>SUM(H151:H173)</f>
        <v>#REF!</v>
      </c>
      <c r="I174" s="545"/>
      <c r="J174" s="545"/>
      <c r="K174" s="545"/>
      <c r="L174" s="545"/>
      <c r="M174" s="545"/>
      <c r="N174" s="545"/>
      <c r="O174" s="546"/>
      <c r="P174" s="556"/>
      <c r="Q174" s="546"/>
      <c r="R174" s="546"/>
      <c r="S174" s="546"/>
      <c r="T174" s="546"/>
      <c r="Y174"/>
    </row>
    <row r="175" spans="1:25" s="7" customFormat="1" x14ac:dyDescent="0.25">
      <c r="A175" s="546"/>
      <c r="B175" s="546"/>
      <c r="C175" s="546"/>
      <c r="D175" s="546"/>
      <c r="E175" s="546"/>
      <c r="F175" s="546"/>
      <c r="G175" s="598"/>
      <c r="H175" s="597"/>
      <c r="I175" s="545"/>
      <c r="J175" s="545"/>
      <c r="K175" s="545"/>
      <c r="L175" s="545"/>
      <c r="M175" s="632"/>
      <c r="N175" s="545"/>
      <c r="O175" s="546"/>
      <c r="P175" s="556"/>
      <c r="Q175" s="546"/>
      <c r="R175" s="546"/>
      <c r="S175" s="546"/>
      <c r="T175" s="546"/>
      <c r="Y175"/>
    </row>
    <row r="176" spans="1:25" s="7" customFormat="1" x14ac:dyDescent="0.25">
      <c r="A176" s="546"/>
      <c r="B176" s="546"/>
      <c r="C176" s="546"/>
      <c r="D176" s="546" t="s">
        <v>271</v>
      </c>
      <c r="E176" s="556">
        <f>G176/G110</f>
        <v>0.18637176191490415</v>
      </c>
      <c r="F176" s="546"/>
      <c r="G176" s="554">
        <f>G5+G6+G7+G8+G9+G10+G13+G14+G15+G16</f>
        <v>162005765.59</v>
      </c>
      <c r="H176" s="549" t="e">
        <f>G176/G184</f>
        <v>#REF!</v>
      </c>
      <c r="I176" s="545"/>
      <c r="J176" s="545"/>
      <c r="K176" s="545"/>
      <c r="L176" s="545"/>
      <c r="M176" s="545"/>
      <c r="N176" s="545"/>
      <c r="O176" s="546"/>
      <c r="P176" s="556"/>
      <c r="Q176" s="546"/>
      <c r="R176" s="546"/>
      <c r="S176" s="546"/>
      <c r="T176" s="546"/>
      <c r="Y176"/>
    </row>
    <row r="177" spans="1:25" s="7" customFormat="1" x14ac:dyDescent="0.25">
      <c r="A177" s="546"/>
      <c r="B177" s="546"/>
      <c r="C177" s="546"/>
      <c r="D177" s="546" t="s">
        <v>141</v>
      </c>
      <c r="E177" s="556" t="e">
        <f>G177/G110</f>
        <v>#REF!</v>
      </c>
      <c r="F177" s="546"/>
      <c r="G177" s="554" t="e">
        <f>G27+#REF!+G36+#REF!</f>
        <v>#REF!</v>
      </c>
      <c r="H177" s="549" t="e">
        <f>G177/G184</f>
        <v>#REF!</v>
      </c>
      <c r="I177" s="545"/>
      <c r="J177" s="545"/>
      <c r="K177" s="545"/>
      <c r="L177" s="545"/>
      <c r="M177" s="545"/>
      <c r="N177" s="545"/>
      <c r="O177" s="546"/>
      <c r="P177" s="556"/>
      <c r="Q177" s="546"/>
      <c r="R177" s="546"/>
      <c r="S177" s="546"/>
      <c r="T177" s="546"/>
      <c r="Y177"/>
    </row>
    <row r="178" spans="1:25" s="7" customFormat="1" x14ac:dyDescent="0.25">
      <c r="A178" s="546"/>
      <c r="B178" s="546"/>
      <c r="C178" s="546"/>
      <c r="D178" s="546" t="s">
        <v>272</v>
      </c>
      <c r="E178" s="556" t="e">
        <f>G178/G110</f>
        <v>#REF!</v>
      </c>
      <c r="F178" s="546"/>
      <c r="G178" s="554" t="e">
        <f>G18+G20+G32+#REF!+#REF!+G26+G28+G31+#REF!+#REF!</f>
        <v>#REF!</v>
      </c>
      <c r="H178" s="549" t="e">
        <f>G178/G184</f>
        <v>#REF!</v>
      </c>
      <c r="I178" s="545"/>
      <c r="J178" s="545"/>
      <c r="K178" s="545"/>
      <c r="L178" s="545"/>
      <c r="M178" s="545"/>
      <c r="N178" s="545"/>
      <c r="O178" s="546"/>
      <c r="P178" s="556"/>
      <c r="Q178" s="546"/>
      <c r="R178" s="546"/>
      <c r="S178" s="546"/>
      <c r="T178" s="546"/>
      <c r="Y178"/>
    </row>
    <row r="179" spans="1:25" s="7" customFormat="1" x14ac:dyDescent="0.25">
      <c r="A179" s="546"/>
      <c r="B179" s="546"/>
      <c r="C179" s="546"/>
      <c r="D179" s="546" t="s">
        <v>273</v>
      </c>
      <c r="E179" s="556">
        <f>G179/G110</f>
        <v>4.1142682489149339E-2</v>
      </c>
      <c r="F179" s="546"/>
      <c r="G179" s="554">
        <f>G44+G45</f>
        <v>35763742.890000001</v>
      </c>
      <c r="H179" s="549" t="e">
        <f>G179/G184</f>
        <v>#REF!</v>
      </c>
      <c r="I179" s="545"/>
      <c r="J179" s="545"/>
      <c r="K179" s="545"/>
      <c r="L179" s="545"/>
      <c r="M179" s="545"/>
      <c r="N179" s="545"/>
      <c r="O179" s="546"/>
      <c r="P179" s="556"/>
      <c r="Q179" s="546"/>
      <c r="R179" s="546"/>
      <c r="S179" s="546"/>
      <c r="T179" s="546"/>
      <c r="Y179"/>
    </row>
    <row r="180" spans="1:25" s="7" customFormat="1" x14ac:dyDescent="0.25">
      <c r="A180" s="546"/>
      <c r="B180" s="546"/>
      <c r="C180" s="546"/>
      <c r="D180" s="546" t="s">
        <v>138</v>
      </c>
      <c r="E180" s="556">
        <f>G180/G110</f>
        <v>0.19100490602492487</v>
      </c>
      <c r="F180" s="546"/>
      <c r="G180" s="554">
        <f>G19+G21+G22+G23+G29+G30</f>
        <v>166033178.59999999</v>
      </c>
      <c r="H180" s="549" t="e">
        <f>G180/G184</f>
        <v>#REF!</v>
      </c>
      <c r="I180" s="545"/>
      <c r="J180" s="545"/>
      <c r="K180" s="545"/>
      <c r="L180" s="545"/>
      <c r="M180" s="545"/>
      <c r="N180" s="545"/>
      <c r="O180" s="546"/>
      <c r="P180" s="556"/>
      <c r="Q180" s="546"/>
      <c r="R180" s="546"/>
      <c r="S180" s="546"/>
      <c r="T180" s="546"/>
      <c r="Y180"/>
    </row>
    <row r="181" spans="1:25" s="7" customFormat="1" x14ac:dyDescent="0.25">
      <c r="A181" s="546"/>
      <c r="B181" s="546"/>
      <c r="C181" s="546"/>
      <c r="D181" s="546" t="s">
        <v>274</v>
      </c>
      <c r="E181" s="556">
        <f>G181/G110</f>
        <v>2.8568566839551158E-2</v>
      </c>
      <c r="F181" s="546"/>
      <c r="G181" s="554">
        <f>G39+G40+G41+G43+G46+G47+G51</f>
        <v>24833550.399999999</v>
      </c>
      <c r="H181" s="549" t="e">
        <f>G181/G184</f>
        <v>#REF!</v>
      </c>
      <c r="I181" s="545"/>
      <c r="J181" s="545"/>
      <c r="K181" s="545"/>
      <c r="L181" s="545"/>
      <c r="M181" s="545"/>
      <c r="N181" s="545"/>
      <c r="O181" s="546"/>
      <c r="P181" s="556"/>
      <c r="Q181" s="546"/>
      <c r="R181" s="546"/>
      <c r="S181" s="546"/>
      <c r="T181" s="546"/>
      <c r="Y181"/>
    </row>
    <row r="182" spans="1:25" s="7" customFormat="1" x14ac:dyDescent="0.25">
      <c r="A182" s="546"/>
      <c r="B182" s="546"/>
      <c r="C182" s="546"/>
      <c r="D182" s="546" t="s">
        <v>316</v>
      </c>
      <c r="E182" s="556">
        <f>G182/G111</f>
        <v>3.9767968290082112E-2</v>
      </c>
      <c r="F182" s="546"/>
      <c r="G182" s="554">
        <f>G57+G58+G59</f>
        <v>7261012.3200000003</v>
      </c>
      <c r="H182" s="549" t="e">
        <f>G182/G184</f>
        <v>#REF!</v>
      </c>
      <c r="I182" s="545"/>
      <c r="J182" s="545"/>
      <c r="K182" s="545"/>
      <c r="L182" s="545"/>
      <c r="M182" s="545"/>
      <c r="N182" s="545"/>
      <c r="O182" s="546"/>
      <c r="P182" s="556"/>
      <c r="Q182" s="546"/>
      <c r="R182" s="546"/>
      <c r="S182" s="546"/>
      <c r="T182" s="546"/>
      <c r="Y182"/>
    </row>
    <row r="183" spans="1:25" s="7" customFormat="1" x14ac:dyDescent="0.25">
      <c r="A183" s="546"/>
      <c r="B183" s="546"/>
      <c r="C183" s="546"/>
      <c r="D183" s="546"/>
      <c r="E183" s="556"/>
      <c r="F183" s="546"/>
      <c r="G183" s="554"/>
      <c r="H183" s="549"/>
      <c r="I183" s="545"/>
      <c r="J183" s="545"/>
      <c r="K183" s="545"/>
      <c r="L183" s="545"/>
      <c r="M183" s="545"/>
      <c r="N183" s="545"/>
      <c r="O183" s="546"/>
      <c r="P183" s="556"/>
      <c r="Q183" s="546"/>
      <c r="R183" s="546"/>
      <c r="S183" s="546"/>
      <c r="T183" s="546"/>
      <c r="Y183"/>
    </row>
    <row r="184" spans="1:25" s="7" customFormat="1" x14ac:dyDescent="0.25">
      <c r="A184" s="546"/>
      <c r="B184" s="546"/>
      <c r="C184" s="546"/>
      <c r="D184" s="546"/>
      <c r="E184" s="556" t="e">
        <f>E176+E177+E178+E179+E180+E181</f>
        <v>#REF!</v>
      </c>
      <c r="F184" s="546"/>
      <c r="G184" s="554" t="e">
        <f>SUM(G176:G183)</f>
        <v>#REF!</v>
      </c>
      <c r="H184" s="549" t="e">
        <f>SUM(H176:H183)</f>
        <v>#REF!</v>
      </c>
      <c r="I184" s="632" t="e">
        <f>G184/G174</f>
        <v>#REF!</v>
      </c>
      <c r="J184" s="545"/>
      <c r="K184" s="545"/>
      <c r="L184" s="545"/>
      <c r="M184" s="545"/>
      <c r="N184" s="545"/>
      <c r="O184" s="546"/>
      <c r="P184" s="556"/>
      <c r="Q184" s="546"/>
      <c r="R184" s="546"/>
      <c r="S184" s="546"/>
      <c r="T184" s="546"/>
      <c r="Y184"/>
    </row>
    <row r="185" spans="1:25" s="7" customFormat="1" x14ac:dyDescent="0.25">
      <c r="A185" s="546"/>
      <c r="B185" s="546"/>
      <c r="C185" s="546"/>
      <c r="D185" s="546"/>
      <c r="E185" s="546"/>
      <c r="F185" s="546"/>
      <c r="G185" s="554"/>
      <c r="H185" s="549"/>
      <c r="I185" s="545"/>
      <c r="J185" s="545"/>
      <c r="K185" s="545"/>
      <c r="L185" s="545"/>
      <c r="M185" s="545"/>
      <c r="N185" s="545"/>
      <c r="O185" s="546"/>
      <c r="P185" s="556"/>
      <c r="Q185" s="546"/>
      <c r="R185" s="546"/>
      <c r="S185" s="546"/>
      <c r="T185" s="546"/>
      <c r="Y185"/>
    </row>
    <row r="186" spans="1:25" s="7" customFormat="1" x14ac:dyDescent="0.25">
      <c r="A186" s="546"/>
      <c r="B186" s="546"/>
      <c r="C186" s="546"/>
      <c r="D186" s="546"/>
      <c r="E186" s="546"/>
      <c r="F186" s="546"/>
      <c r="G186" s="554"/>
      <c r="H186" s="549"/>
      <c r="I186" s="545"/>
      <c r="J186" s="545"/>
      <c r="K186" s="545"/>
      <c r="L186" s="545"/>
      <c r="M186" s="545"/>
      <c r="N186" s="545"/>
      <c r="O186" s="546"/>
      <c r="P186" s="556"/>
      <c r="Q186" s="546"/>
      <c r="R186" s="546"/>
      <c r="S186" s="546"/>
      <c r="T186" s="546"/>
      <c r="Y186"/>
    </row>
    <row r="187" spans="1:25" s="7" customFormat="1" x14ac:dyDescent="0.25">
      <c r="A187" s="546"/>
      <c r="B187" s="546"/>
      <c r="C187" s="546"/>
      <c r="D187" s="546"/>
      <c r="E187" s="546"/>
      <c r="F187" s="546"/>
      <c r="G187" s="554"/>
      <c r="H187" s="549"/>
      <c r="I187" s="545"/>
      <c r="J187" s="545"/>
      <c r="K187" s="545"/>
      <c r="L187" s="545"/>
      <c r="M187" s="545"/>
      <c r="N187" s="545"/>
      <c r="O187" s="546"/>
      <c r="P187" s="556"/>
      <c r="Q187" s="546"/>
      <c r="R187" s="546"/>
      <c r="S187" s="546"/>
      <c r="Y187"/>
    </row>
  </sheetData>
  <mergeCells count="48">
    <mergeCell ref="S5:S16"/>
    <mergeCell ref="P3:R3"/>
    <mergeCell ref="O5:O16"/>
    <mergeCell ref="P5:P16"/>
    <mergeCell ref="Q5:Q16"/>
    <mergeCell ref="R5:R16"/>
    <mergeCell ref="O18:O32"/>
    <mergeCell ref="P18:P32"/>
    <mergeCell ref="Q18:Q32"/>
    <mergeCell ref="R18:R32"/>
    <mergeCell ref="S18:S32"/>
    <mergeCell ref="O57:O59"/>
    <mergeCell ref="P57:P59"/>
    <mergeCell ref="Q57:Q59"/>
    <mergeCell ref="R57:R59"/>
    <mergeCell ref="S57:S59"/>
    <mergeCell ref="O39:O51"/>
    <mergeCell ref="P39:P51"/>
    <mergeCell ref="Q39:Q51"/>
    <mergeCell ref="R39:R51"/>
    <mergeCell ref="S39:S51"/>
    <mergeCell ref="S85:S89"/>
    <mergeCell ref="O63:O64"/>
    <mergeCell ref="P63:P64"/>
    <mergeCell ref="Q63:Q64"/>
    <mergeCell ref="R63:R64"/>
    <mergeCell ref="S63:S64"/>
    <mergeCell ref="O68:O77"/>
    <mergeCell ref="P68:P77"/>
    <mergeCell ref="Q68:Q77"/>
    <mergeCell ref="R68:R77"/>
    <mergeCell ref="S68:S77"/>
    <mergeCell ref="R91:R92"/>
    <mergeCell ref="S91:S92"/>
    <mergeCell ref="O94:O95"/>
    <mergeCell ref="P94:P96"/>
    <mergeCell ref="O80:O83"/>
    <mergeCell ref="P80:P83"/>
    <mergeCell ref="Q80:Q83"/>
    <mergeCell ref="O91:O92"/>
    <mergeCell ref="P91:P92"/>
    <mergeCell ref="Q91:Q92"/>
    <mergeCell ref="R80:R83"/>
    <mergeCell ref="S80:S83"/>
    <mergeCell ref="O85:O89"/>
    <mergeCell ref="P85:P89"/>
    <mergeCell ref="Q85:Q89"/>
    <mergeCell ref="R85:R89"/>
  </mergeCells>
  <printOptions horizontalCentered="1"/>
  <pageMargins left="0.19685039370078741" right="0.19685039370078741" top="0.19685039370078741" bottom="0.19685039370078741" header="0.11811023622047245" footer="0.31496062992125984"/>
  <pageSetup paperSize="9"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7</vt:i4>
      </vt:variant>
    </vt:vector>
  </HeadingPairs>
  <TitlesOfParts>
    <vt:vector size="15" baseType="lpstr">
      <vt:lpstr>Meta</vt:lpstr>
      <vt:lpstr>Consolidado Janeiro 2018</vt:lpstr>
      <vt:lpstr>Consolidado fevereiro 2018</vt:lpstr>
      <vt:lpstr>Consolidado Março 2018</vt:lpstr>
      <vt:lpstr>Consolidado Abril 2018</vt:lpstr>
      <vt:lpstr>Consolidado Maio 2018</vt:lpstr>
      <vt:lpstr>Consolidado Junho 2018</vt:lpstr>
      <vt:lpstr>Consolidado Julho 2018</vt:lpstr>
      <vt:lpstr>'Consolidado Abril 2018'!Area_de_impressao</vt:lpstr>
      <vt:lpstr>'Consolidado fevereiro 2018'!Area_de_impressao</vt:lpstr>
      <vt:lpstr>'Consolidado Janeiro 2018'!Area_de_impressao</vt:lpstr>
      <vt:lpstr>'Consolidado Julho 2018'!Area_de_impressao</vt:lpstr>
      <vt:lpstr>'Consolidado Junho 2018'!Area_de_impressao</vt:lpstr>
      <vt:lpstr>'Consolidado Maio 2018'!Area_de_impressao</vt:lpstr>
      <vt:lpstr>'Consolidado Março 2018'!Area_de_impressao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Gilmar Giraldini</dc:creator>
  <cp:lastModifiedBy>Antonio Gilmar Giraldini</cp:lastModifiedBy>
  <cp:lastPrinted>2018-08-16T20:53:31Z</cp:lastPrinted>
  <dcterms:created xsi:type="dcterms:W3CDTF">2018-02-05T20:25:49Z</dcterms:created>
  <dcterms:modified xsi:type="dcterms:W3CDTF">2018-08-22T17:24:37Z</dcterms:modified>
</cp:coreProperties>
</file>