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0" windowWidth="20835" windowHeight="7530" firstSheet="3" activeTab="7"/>
  </bookViews>
  <sheets>
    <sheet name="Meta" sheetId="2" r:id="rId1"/>
    <sheet name="FFIN2 Janeiro 2018" sheetId="1" r:id="rId2"/>
    <sheet name="FFIN2 Fevereiro 2018" sheetId="3" r:id="rId3"/>
    <sheet name="FFIN2 Março 2018" sheetId="4" r:id="rId4"/>
    <sheet name="FFIN2 Abril 2018" sheetId="5" r:id="rId5"/>
    <sheet name="FFIN2 Maio 2018" sheetId="6" r:id="rId6"/>
    <sheet name="FFIN2 Junho 2018" sheetId="7" r:id="rId7"/>
    <sheet name="FFIN2 Julho 2018" sheetId="8" r:id="rId8"/>
  </sheets>
  <externalReferences>
    <externalReference r:id="rId9"/>
    <externalReference r:id="rId10"/>
    <externalReference r:id="rId11"/>
  </externalReferences>
  <definedNames>
    <definedName name="_xlnm.Print_Area" localSheetId="4">'FFIN2 Abril 2018'!$A$1:$S$89</definedName>
    <definedName name="_xlnm.Print_Area" localSheetId="2">'FFIN2 Fevereiro 2018'!$A$1:$S$89</definedName>
    <definedName name="_xlnm.Print_Area" localSheetId="1">'FFIN2 Janeiro 2018'!$A$1:$S$88</definedName>
    <definedName name="_xlnm.Print_Area" localSheetId="7">'FFIN2 Julho 2018'!$A$1:$S$90</definedName>
    <definedName name="_xlnm.Print_Area" localSheetId="6">'FFIN2 Junho 2018'!$A$1:$S$89</definedName>
    <definedName name="_xlnm.Print_Area" localSheetId="5">'FFIN2 Maio 2018'!$A$1:$S$88</definedName>
    <definedName name="_xlnm.Print_Area" localSheetId="3">'FFIN2 Março 2018'!$A$1:$S$88</definedName>
  </definedNames>
  <calcPr calcId="145621"/>
</workbook>
</file>

<file path=xl/calcChain.xml><?xml version="1.0" encoding="utf-8"?>
<calcChain xmlns="http://schemas.openxmlformats.org/spreadsheetml/2006/main">
  <c r="P72" i="8" l="1"/>
  <c r="G69" i="8" l="1"/>
  <c r="G87" i="8" s="1"/>
  <c r="N68" i="8"/>
  <c r="N67" i="8"/>
  <c r="G66" i="8"/>
  <c r="N65" i="8"/>
  <c r="N64" i="8"/>
  <c r="N63" i="8"/>
  <c r="N62" i="8"/>
  <c r="G61" i="8"/>
  <c r="N59" i="8"/>
  <c r="G58" i="8"/>
  <c r="N56" i="8"/>
  <c r="N55" i="8"/>
  <c r="N54" i="8"/>
  <c r="N53" i="8"/>
  <c r="N52" i="8"/>
  <c r="N51" i="8"/>
  <c r="G50" i="8"/>
  <c r="G48" i="8"/>
  <c r="N47" i="8"/>
  <c r="N46" i="8"/>
  <c r="G45" i="8"/>
  <c r="N42" i="8"/>
  <c r="N41" i="8"/>
  <c r="N40" i="8"/>
  <c r="G39" i="8"/>
  <c r="N34" i="8"/>
  <c r="N31" i="8"/>
  <c r="N30" i="8"/>
  <c r="N29" i="8"/>
  <c r="N27" i="8"/>
  <c r="N26" i="8"/>
  <c r="G25" i="8"/>
  <c r="N33" i="8"/>
  <c r="N32" i="8"/>
  <c r="N28" i="8"/>
  <c r="N16" i="8"/>
  <c r="N20" i="8"/>
  <c r="N19" i="8"/>
  <c r="N18" i="8"/>
  <c r="N17" i="8"/>
  <c r="N15" i="8"/>
  <c r="N14" i="8"/>
  <c r="N13" i="8"/>
  <c r="G12" i="8"/>
  <c r="G4" i="8"/>
  <c r="G86" i="8" l="1"/>
  <c r="N51" i="7" l="1"/>
  <c r="G68" i="7" l="1"/>
  <c r="G86" i="7" s="1"/>
  <c r="N67" i="7"/>
  <c r="N66" i="7"/>
  <c r="G65" i="7"/>
  <c r="N64" i="7"/>
  <c r="N63" i="7"/>
  <c r="N62" i="7"/>
  <c r="N61" i="7"/>
  <c r="G60" i="7"/>
  <c r="N58" i="7"/>
  <c r="G57" i="7"/>
  <c r="N55" i="7"/>
  <c r="N54" i="7"/>
  <c r="N53" i="7"/>
  <c r="N52" i="7"/>
  <c r="N50" i="7"/>
  <c r="G49" i="7"/>
  <c r="G47" i="7"/>
  <c r="N46" i="7"/>
  <c r="N45" i="7"/>
  <c r="G44" i="7"/>
  <c r="N41" i="7"/>
  <c r="N40" i="7"/>
  <c r="N39" i="7"/>
  <c r="G38" i="7"/>
  <c r="N33" i="7"/>
  <c r="N32" i="7"/>
  <c r="N31" i="7"/>
  <c r="N30" i="7"/>
  <c r="N29" i="7"/>
  <c r="N28" i="7"/>
  <c r="G27" i="7"/>
  <c r="N25" i="7"/>
  <c r="N24" i="7"/>
  <c r="N23" i="7"/>
  <c r="N22" i="7"/>
  <c r="G21" i="7"/>
  <c r="N18" i="7"/>
  <c r="N17" i="7"/>
  <c r="N16" i="7"/>
  <c r="N15" i="7"/>
  <c r="N14" i="7"/>
  <c r="N13" i="7"/>
  <c r="N12" i="7"/>
  <c r="G11" i="7"/>
  <c r="G4" i="7"/>
  <c r="G84" i="7" l="1"/>
  <c r="G71" i="7"/>
  <c r="G85" i="7"/>
  <c r="H51" i="7" l="1"/>
  <c r="H21" i="7"/>
  <c r="H38" i="7"/>
  <c r="H47" i="7"/>
  <c r="H60" i="7"/>
  <c r="H27" i="7"/>
  <c r="H44" i="7"/>
  <c r="P68" i="7"/>
  <c r="P44" i="7"/>
  <c r="H69" i="7"/>
  <c r="H59" i="7"/>
  <c r="H50" i="7"/>
  <c r="H46" i="7"/>
  <c r="H41" i="7"/>
  <c r="H25" i="7"/>
  <c r="H12" i="7"/>
  <c r="P5" i="7"/>
  <c r="H15" i="7"/>
  <c r="H5" i="7"/>
  <c r="H66" i="7"/>
  <c r="H62" i="7"/>
  <c r="P58" i="7"/>
  <c r="H54" i="7"/>
  <c r="H49" i="7"/>
  <c r="P45" i="7"/>
  <c r="H33" i="7"/>
  <c r="H29" i="7"/>
  <c r="H11" i="7"/>
  <c r="S77" i="7"/>
  <c r="H65" i="7"/>
  <c r="P61" i="7"/>
  <c r="H40" i="7"/>
  <c r="P28" i="7"/>
  <c r="H24" i="7"/>
  <c r="H4" i="7"/>
  <c r="H52" i="7"/>
  <c r="H31" i="7"/>
  <c r="P22" i="7"/>
  <c r="H13" i="7"/>
  <c r="H67" i="7"/>
  <c r="P50" i="7"/>
  <c r="P66" i="7"/>
  <c r="H63" i="7"/>
  <c r="H55" i="7"/>
  <c r="H58" i="7"/>
  <c r="H53" i="7"/>
  <c r="P48" i="7"/>
  <c r="H45" i="7"/>
  <c r="P39" i="7"/>
  <c r="H32" i="7"/>
  <c r="H18" i="7"/>
  <c r="H14" i="7"/>
  <c r="H10" i="7"/>
  <c r="H61" i="7"/>
  <c r="H48" i="7"/>
  <c r="H28" i="7"/>
  <c r="H23" i="7"/>
  <c r="H9" i="7"/>
  <c r="H71" i="7"/>
  <c r="H64" i="7"/>
  <c r="H39" i="7"/>
  <c r="H17" i="7"/>
  <c r="H8" i="7"/>
  <c r="P12" i="7"/>
  <c r="H7" i="7"/>
  <c r="P69" i="7"/>
  <c r="H30" i="7"/>
  <c r="H22" i="7"/>
  <c r="H16" i="7"/>
  <c r="H6" i="7"/>
  <c r="G87" i="7"/>
  <c r="H86" i="7" s="1"/>
  <c r="H57" i="7"/>
  <c r="H68" i="7"/>
  <c r="R68" i="7" l="1"/>
  <c r="H84" i="7"/>
  <c r="P71" i="7"/>
  <c r="H85" i="7"/>
  <c r="H87" i="7" l="1"/>
  <c r="S75" i="6"/>
  <c r="N61" i="6" l="1"/>
  <c r="G67" i="6" l="1"/>
  <c r="G85" i="6" s="1"/>
  <c r="N66" i="6"/>
  <c r="N65" i="6"/>
  <c r="G64" i="6"/>
  <c r="N63" i="6"/>
  <c r="N62" i="6"/>
  <c r="N60" i="6"/>
  <c r="G59" i="6"/>
  <c r="N58" i="6"/>
  <c r="N57" i="6"/>
  <c r="G56" i="6"/>
  <c r="N54" i="6"/>
  <c r="N53" i="6"/>
  <c r="N52" i="6"/>
  <c r="N51" i="6"/>
  <c r="N50" i="6"/>
  <c r="G49" i="6"/>
  <c r="G47" i="6"/>
  <c r="N46" i="6"/>
  <c r="N45" i="6"/>
  <c r="G44" i="6"/>
  <c r="N41" i="6"/>
  <c r="N40" i="6"/>
  <c r="N39" i="6"/>
  <c r="G38" i="6"/>
  <c r="N33" i="6"/>
  <c r="N32" i="6"/>
  <c r="N31" i="6"/>
  <c r="N30" i="6"/>
  <c r="N29" i="6"/>
  <c r="N28" i="6"/>
  <c r="G27" i="6"/>
  <c r="N25" i="6"/>
  <c r="N24" i="6"/>
  <c r="N23" i="6"/>
  <c r="N22" i="6"/>
  <c r="G21" i="6"/>
  <c r="N18" i="6"/>
  <c r="N17" i="6"/>
  <c r="N16" i="6"/>
  <c r="N15" i="6"/>
  <c r="N14" i="6"/>
  <c r="N13" i="6"/>
  <c r="N12" i="6"/>
  <c r="G11" i="6"/>
  <c r="G4" i="6"/>
  <c r="G83" i="6" l="1"/>
  <c r="G70" i="6"/>
  <c r="G84" i="6"/>
  <c r="H33" i="6" l="1"/>
  <c r="P28" i="6"/>
  <c r="P57" i="6"/>
  <c r="H39" i="6"/>
  <c r="H48" i="6"/>
  <c r="H61" i="6"/>
  <c r="H4" i="6"/>
  <c r="H32" i="6"/>
  <c r="H29" i="6"/>
  <c r="H18" i="6"/>
  <c r="P50" i="6"/>
  <c r="H27" i="6"/>
  <c r="P65" i="6"/>
  <c r="P22" i="6"/>
  <c r="H9" i="6"/>
  <c r="H44" i="6"/>
  <c r="P45" i="6"/>
  <c r="H56" i="6"/>
  <c r="P39" i="6"/>
  <c r="H7" i="6"/>
  <c r="P68" i="6"/>
  <c r="H30" i="6"/>
  <c r="H46" i="6"/>
  <c r="H47" i="6"/>
  <c r="H53" i="6"/>
  <c r="H60" i="6"/>
  <c r="H45" i="6"/>
  <c r="P12" i="6"/>
  <c r="P44" i="6"/>
  <c r="H41" i="6"/>
  <c r="H54" i="6"/>
  <c r="H58" i="6"/>
  <c r="H51" i="6"/>
  <c r="H62" i="6"/>
  <c r="H64" i="6"/>
  <c r="P48" i="6"/>
  <c r="H21" i="6"/>
  <c r="H38" i="6"/>
  <c r="H50" i="6"/>
  <c r="H63" i="6"/>
  <c r="H5" i="6"/>
  <c r="H59" i="6"/>
  <c r="P5" i="6"/>
  <c r="S76" i="6"/>
  <c r="S77" i="6" s="1"/>
  <c r="G77" i="6" s="1"/>
  <c r="H52" i="6"/>
  <c r="H25" i="6"/>
  <c r="P67" i="6"/>
  <c r="H66" i="6"/>
  <c r="H70" i="6"/>
  <c r="H11" i="6"/>
  <c r="H67" i="6"/>
  <c r="H12" i="6"/>
  <c r="H6" i="6"/>
  <c r="H57" i="6"/>
  <c r="H40" i="6"/>
  <c r="H17" i="6"/>
  <c r="H10" i="6"/>
  <c r="H23" i="6"/>
  <c r="H15" i="6"/>
  <c r="H13" i="6"/>
  <c r="H24" i="6"/>
  <c r="H16" i="6"/>
  <c r="H65" i="6"/>
  <c r="P60" i="6"/>
  <c r="H49" i="6"/>
  <c r="H14" i="6"/>
  <c r="H31" i="6"/>
  <c r="H22" i="6"/>
  <c r="H28" i="6"/>
  <c r="H8" i="6"/>
  <c r="H68" i="6"/>
  <c r="G86" i="6"/>
  <c r="P70" i="6" l="1"/>
  <c r="R67" i="6"/>
  <c r="H83" i="6"/>
  <c r="H85" i="6"/>
  <c r="H84" i="6"/>
  <c r="H86" i="6" l="1"/>
  <c r="G85" i="5" l="1"/>
  <c r="G84" i="5"/>
  <c r="G22" i="5" l="1"/>
  <c r="S76" i="5" l="1"/>
  <c r="N13" i="5"/>
  <c r="G68" i="5" l="1"/>
  <c r="G86" i="5" s="1"/>
  <c r="N67" i="5"/>
  <c r="N66" i="5"/>
  <c r="G65" i="5"/>
  <c r="N64" i="5"/>
  <c r="N63" i="5"/>
  <c r="N62" i="5"/>
  <c r="G61" i="5"/>
  <c r="N60" i="5"/>
  <c r="N59" i="5"/>
  <c r="G58" i="5"/>
  <c r="N56" i="5"/>
  <c r="N55" i="5"/>
  <c r="N54" i="5"/>
  <c r="N53" i="5"/>
  <c r="N52" i="5"/>
  <c r="G51" i="5"/>
  <c r="G49" i="5"/>
  <c r="N48" i="5"/>
  <c r="N47" i="5"/>
  <c r="G46" i="5"/>
  <c r="N43" i="5"/>
  <c r="N42" i="5"/>
  <c r="N41" i="5"/>
  <c r="G40" i="5"/>
  <c r="N26" i="5"/>
  <c r="N25" i="5"/>
  <c r="N35" i="5"/>
  <c r="N34" i="5"/>
  <c r="N33" i="5"/>
  <c r="N32" i="5"/>
  <c r="N24" i="5"/>
  <c r="N31" i="5"/>
  <c r="N30" i="5"/>
  <c r="N29" i="5"/>
  <c r="G28" i="5"/>
  <c r="N19" i="5"/>
  <c r="N18" i="5"/>
  <c r="N17" i="5"/>
  <c r="N16" i="5"/>
  <c r="N15" i="5"/>
  <c r="N23" i="5"/>
  <c r="N14" i="5"/>
  <c r="N12" i="5"/>
  <c r="G11" i="5"/>
  <c r="G4" i="5"/>
  <c r="G71" i="5" l="1"/>
  <c r="P23" i="5" l="1"/>
  <c r="P12" i="5"/>
  <c r="H13" i="5"/>
  <c r="H40" i="5"/>
  <c r="H4" i="5"/>
  <c r="H58" i="5"/>
  <c r="H11" i="5"/>
  <c r="G87" i="5"/>
  <c r="H69" i="5"/>
  <c r="P62" i="5"/>
  <c r="P29" i="5"/>
  <c r="H10" i="5"/>
  <c r="H66" i="5"/>
  <c r="H59" i="5"/>
  <c r="H54" i="5"/>
  <c r="P50" i="5"/>
  <c r="H47" i="5"/>
  <c r="P41" i="5"/>
  <c r="H25" i="5"/>
  <c r="H18" i="5"/>
  <c r="S77" i="5"/>
  <c r="S78" i="5" s="1"/>
  <c r="G78" i="5" s="1"/>
  <c r="H62" i="5"/>
  <c r="H50" i="5"/>
  <c r="H29" i="5"/>
  <c r="H9" i="5"/>
  <c r="H68" i="5"/>
  <c r="H61" i="5"/>
  <c r="H53" i="5"/>
  <c r="H49" i="5"/>
  <c r="H46" i="5"/>
  <c r="H41" i="5"/>
  <c r="H35" i="5"/>
  <c r="H24" i="5"/>
  <c r="H28" i="5"/>
  <c r="H17" i="5"/>
  <c r="H14" i="5"/>
  <c r="H8" i="5"/>
  <c r="H22" i="5"/>
  <c r="H67" i="5"/>
  <c r="H60" i="5"/>
  <c r="H48" i="5"/>
  <c r="P5" i="5"/>
  <c r="P66" i="5"/>
  <c r="H63" i="5"/>
  <c r="H55" i="5"/>
  <c r="P47" i="5"/>
  <c r="H26" i="5"/>
  <c r="H33" i="5"/>
  <c r="H19" i="5"/>
  <c r="H32" i="5"/>
  <c r="H23" i="5"/>
  <c r="P52" i="5"/>
  <c r="H7" i="5"/>
  <c r="H71" i="5"/>
  <c r="H64" i="5"/>
  <c r="H56" i="5"/>
  <c r="H34" i="5"/>
  <c r="H31" i="5"/>
  <c r="H16" i="5"/>
  <c r="H6" i="5"/>
  <c r="H52" i="5"/>
  <c r="H43" i="5"/>
  <c r="H12" i="5"/>
  <c r="P69" i="5"/>
  <c r="P59" i="5"/>
  <c r="H30" i="5"/>
  <c r="H15" i="5"/>
  <c r="H5" i="5"/>
  <c r="H42" i="5"/>
  <c r="H65" i="5"/>
  <c r="H51" i="5"/>
  <c r="P68" i="5"/>
  <c r="P46" i="5"/>
  <c r="R68" i="5" l="1"/>
  <c r="H85" i="5"/>
  <c r="H86" i="5"/>
  <c r="P71" i="5"/>
  <c r="H84" i="5"/>
  <c r="H87" i="5" l="1"/>
  <c r="S75" i="4"/>
  <c r="G67" i="4" l="1"/>
  <c r="N66" i="4"/>
  <c r="N65" i="4"/>
  <c r="G64" i="4"/>
  <c r="N63" i="4"/>
  <c r="N62" i="4"/>
  <c r="N61" i="4"/>
  <c r="G60" i="4"/>
  <c r="N59" i="4"/>
  <c r="N58" i="4"/>
  <c r="G57" i="4"/>
  <c r="N55" i="4"/>
  <c r="N54" i="4"/>
  <c r="N53" i="4"/>
  <c r="N52" i="4"/>
  <c r="N51" i="4"/>
  <c r="G50" i="4"/>
  <c r="G48" i="4"/>
  <c r="N47" i="4"/>
  <c r="N46" i="4"/>
  <c r="G45" i="4"/>
  <c r="N42" i="4"/>
  <c r="N41" i="4"/>
  <c r="N40" i="4"/>
  <c r="G39" i="4"/>
  <c r="N34" i="4"/>
  <c r="N33" i="4"/>
  <c r="N32" i="4"/>
  <c r="N31" i="4"/>
  <c r="N30" i="4"/>
  <c r="N29" i="4"/>
  <c r="N28" i="4"/>
  <c r="N27" i="4"/>
  <c r="N26" i="4"/>
  <c r="N25" i="4"/>
  <c r="G24" i="4"/>
  <c r="N19" i="4"/>
  <c r="N18" i="4"/>
  <c r="N17" i="4"/>
  <c r="N16" i="4"/>
  <c r="N15" i="4"/>
  <c r="N14" i="4"/>
  <c r="N13" i="4"/>
  <c r="N12" i="4"/>
  <c r="G11" i="4"/>
  <c r="G4" i="4"/>
  <c r="G70" i="4" l="1"/>
  <c r="G84" i="4"/>
  <c r="G83" i="4"/>
  <c r="G85" i="4"/>
  <c r="H67" i="4" l="1"/>
  <c r="P45" i="4"/>
  <c r="H50" i="4"/>
  <c r="H39" i="4"/>
  <c r="G86" i="4"/>
  <c r="H84" i="4" s="1"/>
  <c r="H60" i="4"/>
  <c r="H4" i="4"/>
  <c r="H52" i="4"/>
  <c r="H49" i="4"/>
  <c r="H41" i="4"/>
  <c r="P25" i="4"/>
  <c r="P51" i="4"/>
  <c r="H48" i="4"/>
  <c r="H46" i="4"/>
  <c r="P40" i="4"/>
  <c r="H33" i="4"/>
  <c r="H29" i="4"/>
  <c r="H18" i="4"/>
  <c r="H14" i="4"/>
  <c r="H10" i="4"/>
  <c r="H28" i="4"/>
  <c r="H8" i="4"/>
  <c r="H7" i="4"/>
  <c r="H31" i="4"/>
  <c r="H22" i="4"/>
  <c r="H58" i="4"/>
  <c r="H34" i="4"/>
  <c r="H15" i="4"/>
  <c r="H5" i="4"/>
  <c r="H70" i="4"/>
  <c r="H63" i="4"/>
  <c r="H55" i="4"/>
  <c r="H25" i="4"/>
  <c r="H9" i="4"/>
  <c r="H40" i="4"/>
  <c r="H13" i="4"/>
  <c r="P12" i="4"/>
  <c r="P61" i="4"/>
  <c r="H27" i="4"/>
  <c r="H6" i="4"/>
  <c r="P49" i="4"/>
  <c r="H12" i="4"/>
  <c r="S76" i="4"/>
  <c r="S77" i="4" s="1"/>
  <c r="G77" i="4" s="1"/>
  <c r="H64" i="4"/>
  <c r="H57" i="4"/>
  <c r="H66" i="4"/>
  <c r="H59" i="4"/>
  <c r="H51" i="4"/>
  <c r="H45" i="4"/>
  <c r="H32" i="4"/>
  <c r="H17" i="4"/>
  <c r="H61" i="4"/>
  <c r="P46" i="4"/>
  <c r="H30" i="4"/>
  <c r="H26" i="4"/>
  <c r="H11" i="4"/>
  <c r="P68" i="4"/>
  <c r="P65" i="4"/>
  <c r="H62" i="4"/>
  <c r="P58" i="4"/>
  <c r="H54" i="4"/>
  <c r="H47" i="4"/>
  <c r="H68" i="4"/>
  <c r="H16" i="4"/>
  <c r="H65" i="4"/>
  <c r="H53" i="4"/>
  <c r="H42" i="4"/>
  <c r="P5" i="4"/>
  <c r="P67" i="4"/>
  <c r="H19" i="4"/>
  <c r="H24" i="4"/>
  <c r="R67" i="4" l="1"/>
  <c r="H83" i="4"/>
  <c r="H85" i="4"/>
  <c r="P70" i="4"/>
  <c r="H86" i="4" l="1"/>
  <c r="N27" i="3"/>
  <c r="G45" i="3" l="1"/>
  <c r="N54" i="1"/>
  <c r="N53" i="1"/>
  <c r="N52" i="1"/>
  <c r="N55" i="3"/>
  <c r="N54" i="3"/>
  <c r="N53" i="3"/>
  <c r="N48" i="3" l="1"/>
  <c r="G68" i="3" l="1"/>
  <c r="N67" i="3"/>
  <c r="N66" i="3"/>
  <c r="G65" i="3"/>
  <c r="N64" i="3"/>
  <c r="N63" i="3"/>
  <c r="N62" i="3"/>
  <c r="G61" i="3"/>
  <c r="N60" i="3"/>
  <c r="N59" i="3"/>
  <c r="G58" i="3"/>
  <c r="N56" i="3"/>
  <c r="N52" i="3"/>
  <c r="G51" i="3"/>
  <c r="N50" i="3"/>
  <c r="G49" i="3"/>
  <c r="N47" i="3"/>
  <c r="N46" i="3"/>
  <c r="N42" i="3"/>
  <c r="N41" i="3"/>
  <c r="N40" i="3"/>
  <c r="G39" i="3"/>
  <c r="N34" i="3"/>
  <c r="N33" i="3"/>
  <c r="N32" i="3"/>
  <c r="N31" i="3"/>
  <c r="N30" i="3"/>
  <c r="N29" i="3"/>
  <c r="N28" i="3"/>
  <c r="N26" i="3"/>
  <c r="N25" i="3"/>
  <c r="G24" i="3"/>
  <c r="N19" i="3"/>
  <c r="N18" i="3"/>
  <c r="N17" i="3"/>
  <c r="N16" i="3"/>
  <c r="N15" i="3"/>
  <c r="N14" i="3"/>
  <c r="N13" i="3"/>
  <c r="N12" i="3"/>
  <c r="G11" i="3"/>
  <c r="G4" i="3"/>
  <c r="G71" i="3" l="1"/>
  <c r="H27" i="3" s="1"/>
  <c r="G84" i="3"/>
  <c r="G86" i="3"/>
  <c r="G85" i="3"/>
  <c r="P46" i="3" l="1"/>
  <c r="H15" i="3"/>
  <c r="H16" i="3"/>
  <c r="H17" i="3"/>
  <c r="H18" i="3"/>
  <c r="H19" i="3"/>
  <c r="H14" i="3"/>
  <c r="H55" i="3"/>
  <c r="H53" i="3"/>
  <c r="H54" i="3"/>
  <c r="H48" i="3"/>
  <c r="H11" i="3"/>
  <c r="P68" i="3"/>
  <c r="H51" i="3"/>
  <c r="H71" i="3"/>
  <c r="H64" i="3"/>
  <c r="H56" i="3"/>
  <c r="H50" i="3"/>
  <c r="P12" i="3"/>
  <c r="H7" i="3"/>
  <c r="H60" i="3"/>
  <c r="P52" i="3"/>
  <c r="H31" i="3"/>
  <c r="H28" i="3"/>
  <c r="H22" i="3"/>
  <c r="H6" i="3"/>
  <c r="H47" i="3"/>
  <c r="H42" i="3"/>
  <c r="H12" i="3"/>
  <c r="P5" i="3"/>
  <c r="H69" i="3"/>
  <c r="P62" i="3"/>
  <c r="H52" i="3"/>
  <c r="H34" i="3"/>
  <c r="H30" i="3"/>
  <c r="H26" i="3"/>
  <c r="H5" i="3"/>
  <c r="H66" i="3"/>
  <c r="H59" i="3"/>
  <c r="H41" i="3"/>
  <c r="P25" i="3"/>
  <c r="S77" i="3"/>
  <c r="H62" i="3"/>
  <c r="H46" i="3"/>
  <c r="P40" i="3"/>
  <c r="H33" i="3"/>
  <c r="H29" i="3"/>
  <c r="H10" i="3"/>
  <c r="H67" i="3"/>
  <c r="P50" i="3"/>
  <c r="P45" i="3"/>
  <c r="H25" i="3"/>
  <c r="H9" i="3"/>
  <c r="H45" i="3"/>
  <c r="H40" i="3"/>
  <c r="H32" i="3"/>
  <c r="H24" i="3"/>
  <c r="H13" i="3"/>
  <c r="H8" i="3"/>
  <c r="P69" i="3"/>
  <c r="P66" i="3"/>
  <c r="H63" i="3"/>
  <c r="P59" i="3"/>
  <c r="H61" i="3"/>
  <c r="H4" i="3"/>
  <c r="H68" i="3"/>
  <c r="G87" i="3"/>
  <c r="H86" i="3" s="1"/>
  <c r="H49" i="3"/>
  <c r="H58" i="3"/>
  <c r="H65" i="3"/>
  <c r="H39" i="3"/>
  <c r="P71" i="3" l="1"/>
  <c r="H85" i="3"/>
  <c r="H84" i="3"/>
  <c r="R68" i="3"/>
  <c r="H87" i="3" l="1"/>
  <c r="N27" i="1" l="1"/>
  <c r="G24" i="1" l="1"/>
  <c r="N34" i="1"/>
  <c r="N33" i="1"/>
  <c r="N14" i="1"/>
  <c r="G50" i="1" l="1"/>
  <c r="N185" i="2" l="1"/>
  <c r="N181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N176" i="2"/>
  <c r="N175" i="2"/>
  <c r="N174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N167" i="2"/>
  <c r="N166" i="2"/>
  <c r="N165" i="2"/>
  <c r="N168" i="2" l="1"/>
  <c r="N177" i="2"/>
  <c r="N6" i="2"/>
  <c r="O6" i="2" s="1"/>
  <c r="N7" i="2"/>
  <c r="O7" i="2"/>
  <c r="N8" i="2"/>
  <c r="B9" i="2"/>
  <c r="N9" i="2" s="1"/>
  <c r="C9" i="2"/>
  <c r="D9" i="2"/>
  <c r="E9" i="2"/>
  <c r="F9" i="2"/>
  <c r="G9" i="2"/>
  <c r="H9" i="2"/>
  <c r="I9" i="2"/>
  <c r="J9" i="2"/>
  <c r="K9" i="2"/>
  <c r="L9" i="2"/>
  <c r="M9" i="2"/>
  <c r="N17" i="2"/>
  <c r="O17" i="2"/>
  <c r="N18" i="2"/>
  <c r="O18" i="2"/>
  <c r="B20" i="2"/>
  <c r="N20" i="2" s="1"/>
  <c r="C20" i="2"/>
  <c r="D20" i="2"/>
  <c r="E20" i="2"/>
  <c r="F20" i="2"/>
  <c r="G20" i="2"/>
  <c r="H20" i="2"/>
  <c r="I20" i="2"/>
  <c r="J20" i="2"/>
  <c r="K20" i="2"/>
  <c r="L20" i="2"/>
  <c r="M20" i="2"/>
  <c r="C23" i="2"/>
  <c r="N28" i="2"/>
  <c r="O28" i="2"/>
  <c r="N29" i="2"/>
  <c r="O29" i="2"/>
  <c r="N30" i="2"/>
  <c r="B31" i="2"/>
  <c r="C31" i="2"/>
  <c r="D31" i="2"/>
  <c r="E31" i="2"/>
  <c r="F31" i="2"/>
  <c r="G31" i="2"/>
  <c r="N31" i="2" s="1"/>
  <c r="H31" i="2"/>
  <c r="I31" i="2"/>
  <c r="J31" i="2"/>
  <c r="K31" i="2"/>
  <c r="L31" i="2"/>
  <c r="M31" i="2"/>
  <c r="N39" i="2"/>
  <c r="N42" i="2" s="1"/>
  <c r="O39" i="2"/>
  <c r="B40" i="2"/>
  <c r="C40" i="2"/>
  <c r="N40" i="2"/>
  <c r="N41" i="2"/>
  <c r="B42" i="2"/>
  <c r="C42" i="2"/>
  <c r="D42" i="2"/>
  <c r="E42" i="2"/>
  <c r="F42" i="2"/>
  <c r="G42" i="2"/>
  <c r="H42" i="2"/>
  <c r="I42" i="2"/>
  <c r="J42" i="2"/>
  <c r="K42" i="2"/>
  <c r="L42" i="2"/>
  <c r="M42" i="2"/>
  <c r="N44" i="2"/>
  <c r="N50" i="2"/>
  <c r="N53" i="2" s="1"/>
  <c r="N51" i="2"/>
  <c r="N52" i="2"/>
  <c r="B53" i="2"/>
  <c r="C53" i="2"/>
  <c r="D53" i="2"/>
  <c r="E53" i="2"/>
  <c r="F53" i="2"/>
  <c r="G53" i="2"/>
  <c r="H53" i="2"/>
  <c r="I53" i="2"/>
  <c r="J53" i="2"/>
  <c r="K53" i="2"/>
  <c r="L53" i="2"/>
  <c r="M53" i="2"/>
  <c r="N60" i="2"/>
  <c r="N63" i="2" s="1"/>
  <c r="N61" i="2"/>
  <c r="N62" i="2"/>
  <c r="B63" i="2"/>
  <c r="C63" i="2"/>
  <c r="D63" i="2"/>
  <c r="E63" i="2"/>
  <c r="F63" i="2"/>
  <c r="G63" i="2"/>
  <c r="H63" i="2"/>
  <c r="I63" i="2"/>
  <c r="J63" i="2"/>
  <c r="K63" i="2"/>
  <c r="L63" i="2"/>
  <c r="M63" i="2"/>
  <c r="N69" i="2"/>
  <c r="N72" i="2" s="1"/>
  <c r="N70" i="2"/>
  <c r="N71" i="2"/>
  <c r="B72" i="2"/>
  <c r="C72" i="2"/>
  <c r="D72" i="2"/>
  <c r="E72" i="2"/>
  <c r="F72" i="2"/>
  <c r="G72" i="2"/>
  <c r="H72" i="2"/>
  <c r="I72" i="2"/>
  <c r="J72" i="2"/>
  <c r="K72" i="2"/>
  <c r="L72" i="2"/>
  <c r="M72" i="2"/>
  <c r="N79" i="2"/>
  <c r="N82" i="2" s="1"/>
  <c r="N80" i="2"/>
  <c r="N81" i="2"/>
  <c r="B82" i="2"/>
  <c r="C82" i="2"/>
  <c r="D82" i="2"/>
  <c r="E82" i="2"/>
  <c r="F82" i="2"/>
  <c r="G82" i="2"/>
  <c r="H82" i="2"/>
  <c r="I82" i="2"/>
  <c r="J82" i="2"/>
  <c r="K82" i="2"/>
  <c r="L82" i="2"/>
  <c r="M82" i="2"/>
  <c r="N88" i="2"/>
  <c r="N91" i="2" s="1"/>
  <c r="N89" i="2"/>
  <c r="N90" i="2"/>
  <c r="B91" i="2"/>
  <c r="C91" i="2"/>
  <c r="D91" i="2"/>
  <c r="E91" i="2"/>
  <c r="F91" i="2"/>
  <c r="G91" i="2"/>
  <c r="H91" i="2"/>
  <c r="I91" i="2"/>
  <c r="J91" i="2"/>
  <c r="K91" i="2"/>
  <c r="L91" i="2"/>
  <c r="M91" i="2"/>
  <c r="N99" i="2"/>
  <c r="N102" i="2" s="1"/>
  <c r="N100" i="2"/>
  <c r="N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8" i="2"/>
  <c r="N111" i="2" s="1"/>
  <c r="N109" i="2"/>
  <c r="N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8" i="2"/>
  <c r="N121" i="2" s="1"/>
  <c r="N119" i="2"/>
  <c r="N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7" i="2"/>
  <c r="N130" i="2" s="1"/>
  <c r="N128" i="2"/>
  <c r="N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8" i="2"/>
  <c r="N141" i="2" s="1"/>
  <c r="N139" i="2"/>
  <c r="N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7" i="2"/>
  <c r="N150" i="2" s="1"/>
  <c r="N148" i="2"/>
  <c r="N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4" i="2"/>
  <c r="N158" i="2"/>
  <c r="O40" i="2" l="1"/>
  <c r="G39" i="1" l="1"/>
  <c r="G4" i="1" l="1"/>
  <c r="N63" i="1" l="1"/>
  <c r="N62" i="1"/>
  <c r="N61" i="1"/>
  <c r="G60" i="1"/>
  <c r="G67" i="1" l="1"/>
  <c r="G85" i="1" s="1"/>
  <c r="M85" i="1" s="1"/>
  <c r="N66" i="1"/>
  <c r="N65" i="1"/>
  <c r="G64" i="1"/>
  <c r="H14" i="1" s="1"/>
  <c r="N59" i="1"/>
  <c r="N58" i="1"/>
  <c r="G57" i="1"/>
  <c r="N55" i="1"/>
  <c r="N51" i="1"/>
  <c r="N49" i="1"/>
  <c r="G48" i="1"/>
  <c r="N47" i="1"/>
  <c r="N46" i="1"/>
  <c r="G45" i="1"/>
  <c r="N42" i="1"/>
  <c r="N41" i="1"/>
  <c r="N40" i="1"/>
  <c r="N32" i="1"/>
  <c r="N31" i="1"/>
  <c r="N30" i="1"/>
  <c r="N29" i="1"/>
  <c r="N28" i="1"/>
  <c r="N26" i="1"/>
  <c r="N25" i="1"/>
  <c r="N19" i="1"/>
  <c r="N18" i="1"/>
  <c r="N17" i="1"/>
  <c r="N16" i="1"/>
  <c r="N15" i="1"/>
  <c r="N13" i="1"/>
  <c r="N12" i="1"/>
  <c r="G11" i="1"/>
  <c r="G83" i="1" s="1"/>
  <c r="M83" i="1" l="1"/>
  <c r="G70" i="1" l="1"/>
  <c r="G84" i="1"/>
  <c r="G86" i="1" s="1"/>
  <c r="H52" i="1" l="1"/>
  <c r="H54" i="1"/>
  <c r="H53" i="1"/>
  <c r="P51" i="1"/>
  <c r="P58" i="1"/>
  <c r="P61" i="1"/>
  <c r="P65" i="1"/>
  <c r="P68" i="1"/>
  <c r="P5" i="1"/>
  <c r="P25" i="1"/>
  <c r="H27" i="1"/>
  <c r="H32" i="1"/>
  <c r="H34" i="1"/>
  <c r="H33" i="1"/>
  <c r="H9" i="1"/>
  <c r="H67" i="1"/>
  <c r="H48" i="1"/>
  <c r="H49" i="1"/>
  <c r="M84" i="1"/>
  <c r="M86" i="1" s="1"/>
  <c r="N83" i="1" s="1"/>
  <c r="S76" i="1"/>
  <c r="H28" i="1"/>
  <c r="H16" i="1"/>
  <c r="P40" i="1"/>
  <c r="P49" i="1"/>
  <c r="H68" i="1"/>
  <c r="H57" i="1"/>
  <c r="H41" i="1"/>
  <c r="H66" i="1"/>
  <c r="H65" i="1"/>
  <c r="P12" i="1"/>
  <c r="H58" i="1"/>
  <c r="H39" i="1"/>
  <c r="H70" i="1"/>
  <c r="H40" i="1"/>
  <c r="P46" i="1"/>
  <c r="H62" i="1"/>
  <c r="H30" i="1"/>
  <c r="H42" i="1"/>
  <c r="H84" i="1"/>
  <c r="H83" i="1"/>
  <c r="H85" i="1"/>
  <c r="H60" i="1"/>
  <c r="H63" i="1"/>
  <c r="H47" i="1"/>
  <c r="H11" i="1"/>
  <c r="H18" i="1"/>
  <c r="H51" i="1"/>
  <c r="H61" i="1"/>
  <c r="H26" i="1"/>
  <c r="H6" i="1"/>
  <c r="H5" i="1"/>
  <c r="H15" i="1"/>
  <c r="H31" i="1"/>
  <c r="H10" i="1"/>
  <c r="H29" i="1"/>
  <c r="H4" i="1"/>
  <c r="H45" i="1"/>
  <c r="H24" i="1"/>
  <c r="P45" i="1"/>
  <c r="P67" i="1"/>
  <c r="H7" i="1"/>
  <c r="H55" i="1"/>
  <c r="H46" i="1"/>
  <c r="H25" i="1"/>
  <c r="H13" i="1"/>
  <c r="H17" i="1"/>
  <c r="H50" i="1"/>
  <c r="H8" i="1"/>
  <c r="H22" i="1"/>
  <c r="H64" i="1"/>
  <c r="H19" i="1"/>
  <c r="H59" i="1"/>
  <c r="H12" i="1"/>
  <c r="P70" i="1" l="1"/>
  <c r="N85" i="1"/>
  <c r="N84" i="1"/>
  <c r="H86" i="1"/>
  <c r="R67" i="1"/>
  <c r="N86" i="1" l="1"/>
  <c r="S75" i="1"/>
  <c r="S77" i="1" s="1"/>
  <c r="G77" i="1" s="1"/>
  <c r="S76" i="3" l="1"/>
  <c r="S78" i="3" s="1"/>
  <c r="G78" i="3" s="1"/>
  <c r="S76" i="7" l="1"/>
  <c r="S78" i="7" s="1"/>
  <c r="G78" i="7" s="1"/>
  <c r="G72" i="8" l="1"/>
  <c r="P67" i="8" s="1"/>
  <c r="G85" i="8"/>
  <c r="H32" i="8" l="1"/>
  <c r="H33" i="8"/>
  <c r="H20" i="8"/>
  <c r="H62" i="8"/>
  <c r="H10" i="8"/>
  <c r="P40" i="8"/>
  <c r="H69" i="8"/>
  <c r="H46" i="8"/>
  <c r="H17" i="8"/>
  <c r="H34" i="8"/>
  <c r="H9" i="8"/>
  <c r="H66" i="8"/>
  <c r="H55" i="8"/>
  <c r="P45" i="8"/>
  <c r="H53" i="8"/>
  <c r="H26" i="8"/>
  <c r="H6" i="8"/>
  <c r="H68" i="8"/>
  <c r="H11" i="8"/>
  <c r="H67" i="8"/>
  <c r="H42" i="8"/>
  <c r="H61" i="8"/>
  <c r="H48" i="8"/>
  <c r="H8" i="8"/>
  <c r="H47" i="8"/>
  <c r="P69" i="8"/>
  <c r="H59" i="8"/>
  <c r="H51" i="8"/>
  <c r="H60" i="8"/>
  <c r="H29" i="8"/>
  <c r="H18" i="8"/>
  <c r="H41" i="8"/>
  <c r="H56" i="8"/>
  <c r="H27" i="8"/>
  <c r="H63" i="8"/>
  <c r="H54" i="8"/>
  <c r="H50" i="8"/>
  <c r="H39" i="8"/>
  <c r="P26" i="8"/>
  <c r="H40" i="8"/>
  <c r="H52" i="8"/>
  <c r="H49" i="8"/>
  <c r="H25" i="8"/>
  <c r="H15" i="8"/>
  <c r="H4" i="8"/>
  <c r="G88" i="8"/>
  <c r="P62" i="8"/>
  <c r="H31" i="8"/>
  <c r="H64" i="8"/>
  <c r="H65" i="8"/>
  <c r="P70" i="8"/>
  <c r="R69" i="8" s="1"/>
  <c r="H14" i="8"/>
  <c r="H28" i="8"/>
  <c r="H13" i="8"/>
  <c r="P49" i="8"/>
  <c r="P5" i="8"/>
  <c r="H70" i="8"/>
  <c r="H72" i="8"/>
  <c r="P13" i="8"/>
  <c r="H19" i="8"/>
  <c r="S78" i="8"/>
  <c r="P46" i="8"/>
  <c r="H58" i="8"/>
  <c r="H5" i="8"/>
  <c r="H23" i="8"/>
  <c r="P51" i="8"/>
  <c r="H12" i="8"/>
  <c r="H7" i="8"/>
  <c r="H45" i="8"/>
  <c r="H16" i="8"/>
  <c r="H30" i="8"/>
  <c r="P59" i="8"/>
  <c r="H87" i="8" l="1"/>
  <c r="H86" i="8"/>
  <c r="H85" i="8"/>
  <c r="H88" i="8" s="1"/>
  <c r="S77" i="8" l="1"/>
  <c r="S79" i="8" s="1"/>
  <c r="G79" i="8" s="1"/>
  <c r="M84" i="4" l="1"/>
  <c r="M86" i="8"/>
  <c r="M84" i="6"/>
  <c r="M85" i="7"/>
  <c r="M85" i="5"/>
  <c r="M85" i="3"/>
  <c r="M86" i="7" l="1"/>
  <c r="M86" i="5"/>
  <c r="M87" i="8"/>
  <c r="M85" i="6"/>
  <c r="M86" i="3"/>
  <c r="M85" i="4"/>
  <c r="M84" i="7" l="1"/>
  <c r="M83" i="4"/>
  <c r="M83" i="6"/>
  <c r="M86" i="6" s="1"/>
  <c r="M85" i="8"/>
  <c r="M88" i="8" s="1"/>
  <c r="N87" i="8" s="1"/>
  <c r="M84" i="5"/>
  <c r="M87" i="5" s="1"/>
  <c r="M84" i="3"/>
  <c r="M87" i="3" s="1"/>
  <c r="N84" i="3" l="1"/>
  <c r="N85" i="3"/>
  <c r="N83" i="6"/>
  <c r="N84" i="6"/>
  <c r="M86" i="4"/>
  <c r="N83" i="4" s="1"/>
  <c r="M87" i="7"/>
  <c r="N86" i="3"/>
  <c r="N84" i="5"/>
  <c r="N85" i="5"/>
  <c r="N85" i="6"/>
  <c r="N85" i="8"/>
  <c r="N86" i="8"/>
  <c r="N86" i="5"/>
  <c r="N88" i="8" l="1"/>
  <c r="N86" i="7"/>
  <c r="N85" i="7"/>
  <c r="N87" i="5"/>
  <c r="N87" i="3"/>
  <c r="N84" i="4"/>
  <c r="N85" i="4"/>
  <c r="N86" i="6"/>
  <c r="N84" i="7"/>
  <c r="N87" i="7" l="1"/>
  <c r="N86" i="4"/>
</calcChain>
</file>

<file path=xl/comments1.xml><?xml version="1.0" encoding="utf-8"?>
<comments xmlns="http://schemas.openxmlformats.org/spreadsheetml/2006/main">
  <authors>
    <author>900003</author>
    <author>Antonio Gilmar Giraldini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40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900003</author>
    <author>Antonio Gilmar Giraldini</author>
  </authors>
  <commentList>
    <comment ref="D28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40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6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900003</author>
    <author>Antonio Gilmar Giraldini</author>
  </authors>
  <commentList>
    <comment ref="D28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40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900003</author>
    <author>Antonio Gilmar Giraldini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41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41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6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900003</author>
    <author>Antonio Gilmar Giraldini</author>
  </authors>
  <commentList>
    <comment ref="D23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39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39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4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4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900003</author>
    <author>Antonio Gilmar Giraldini</author>
  </authors>
  <commentList>
    <comment ref="D23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39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39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900003</author>
    <author>Antonio Gilmar Giraldini</author>
  </authors>
  <commentList>
    <comment ref="D28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40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6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<sst xmlns="http://schemas.openxmlformats.org/spreadsheetml/2006/main" count="2610" uniqueCount="262">
  <si>
    <t>INSTITUIÇÕES</t>
  </si>
  <si>
    <t>BCO - AG - C/C</t>
  </si>
  <si>
    <t>FUNDOS / CNPJ</t>
  </si>
  <si>
    <t>Resgate</t>
  </si>
  <si>
    <t>VLR. APLICADO</t>
  </si>
  <si>
    <t>Rentabilidade</t>
  </si>
  <si>
    <t>Limites</t>
  </si>
  <si>
    <t>SEGMENTO / CATEGORIA</t>
  </si>
  <si>
    <t>Limite</t>
  </si>
  <si>
    <t>NORMA</t>
  </si>
  <si>
    <t>FFINPREV</t>
  </si>
  <si>
    <t>Nominal</t>
  </si>
  <si>
    <t>% Patr</t>
  </si>
  <si>
    <t>Mês</t>
  </si>
  <si>
    <t>Exercicio</t>
  </si>
  <si>
    <t>% Bechmark ano</t>
  </si>
  <si>
    <t>PL do Fundo</t>
  </si>
  <si>
    <t>%</t>
  </si>
  <si>
    <t>Aplic. X Lei X PI</t>
  </si>
  <si>
    <t>Enquadr.Resol.3922/2010</t>
  </si>
  <si>
    <t>Títulos Públicos</t>
  </si>
  <si>
    <r>
      <rPr>
        <sz val="10"/>
        <rFont val="Arial"/>
        <family val="2"/>
      </rPr>
      <t xml:space="preserve">CEFederal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(custodiante)</t>
    </r>
  </si>
  <si>
    <t>Custódia</t>
  </si>
  <si>
    <t>NTN-B (ipca) venc 15/05/2019 -  8.000</t>
  </si>
  <si>
    <t>IPCA + 6,599092  % aa</t>
  </si>
  <si>
    <t>NTN-B (ipca) venc 15/05/2021 - 3.450</t>
  </si>
  <si>
    <t>IPCA + 6,35 % aa</t>
  </si>
  <si>
    <t>NTN-B (ipca) venc 15/05/2023 -  7.600</t>
  </si>
  <si>
    <t>IPCA + 6,45  % aa</t>
  </si>
  <si>
    <t>NTN-B (ipca) venc 15/05/2035 - 8.500</t>
  </si>
  <si>
    <t>IPCA + 7,484 % aa</t>
  </si>
  <si>
    <t>NTN-B (ipca) venc 15/05/2035 - 3.450</t>
  </si>
  <si>
    <t>IPCA + 6,23 % aa</t>
  </si>
  <si>
    <t>NTN-B (ipca) venc 15/05/2035 - 6.000</t>
  </si>
  <si>
    <t>IPCA + 6,49 % aa</t>
  </si>
  <si>
    <t>Santander</t>
  </si>
  <si>
    <t>033 - 0060 - 45.000479-9</t>
  </si>
  <si>
    <r>
      <t>FIC FI  IMA-</t>
    </r>
    <r>
      <rPr>
        <b/>
        <sz val="10"/>
        <rFont val="Arial"/>
        <family val="2"/>
      </rPr>
      <t>B5</t>
    </r>
    <r>
      <rPr>
        <sz val="9"/>
        <rFont val="Arial"/>
        <family val="2"/>
      </rPr>
      <t xml:space="preserve"> Títulos Públ.- 13.455.117/0001/01</t>
    </r>
  </si>
  <si>
    <t>D+0</t>
  </si>
  <si>
    <t>D+1</t>
  </si>
  <si>
    <t>do IMA-B</t>
  </si>
  <si>
    <t>Renda Fixa TP</t>
  </si>
  <si>
    <t>Bco do Brasil</t>
  </si>
  <si>
    <t>001 - 0427 - 48137-8</t>
  </si>
  <si>
    <t>BB Previd RF IRF-M  - 07.111.384/0001-69</t>
  </si>
  <si>
    <t>do IRF-M</t>
  </si>
  <si>
    <t xml:space="preserve">Safra </t>
  </si>
  <si>
    <t>IMA-B FIC FI  - 10.787.822/0001-18</t>
  </si>
  <si>
    <t>D+3</t>
  </si>
  <si>
    <t>D+4</t>
  </si>
  <si>
    <t>CEF</t>
  </si>
  <si>
    <t>104 - 2700 - 006.00000068-0</t>
  </si>
  <si>
    <r>
      <t>FI  IMA</t>
    </r>
    <r>
      <rPr>
        <b/>
        <sz val="10"/>
        <rFont val="Arial"/>
        <family val="2"/>
      </rPr>
      <t>-B5</t>
    </r>
    <r>
      <rPr>
        <sz val="9"/>
        <rFont val="Arial"/>
        <family val="2"/>
      </rPr>
      <t xml:space="preserve">  RF Tít Públicos - 11.060.913/0001-10</t>
    </r>
  </si>
  <si>
    <t>do IMA-B5</t>
  </si>
  <si>
    <t>FI  IRF-M  RF LP - 14.508.605/0001-00</t>
  </si>
  <si>
    <t>ITAÚ</t>
  </si>
  <si>
    <t>Instit RF FIC IMA B5  - 09.093.819/0001-15</t>
  </si>
  <si>
    <t>Geração Futuro</t>
  </si>
  <si>
    <t>GF Juro Real IMA-B  - 19.419.157/0001-84</t>
  </si>
  <si>
    <t>BB Previd RF IMA-B  - 07.861.554/0001-22</t>
  </si>
  <si>
    <t>Renda Fixa</t>
  </si>
  <si>
    <t>BB Previd RF IMA-B5  - 03.543.447/0001-03</t>
  </si>
  <si>
    <t>Bradesco</t>
  </si>
  <si>
    <t>237 - 0109 - 385300-4</t>
  </si>
  <si>
    <t>Bradesco FIC FI RF - IMA-B - 08.702.798/0001-25</t>
  </si>
  <si>
    <t>238 - 0109 - 385300-4</t>
  </si>
  <si>
    <t>Bradesco FIC FI RF - IMA-B5 - 20.216.216/0001-04</t>
  </si>
  <si>
    <t>Santander FFIN2</t>
  </si>
  <si>
    <t>033 - 0060 - 45000479-9</t>
  </si>
  <si>
    <r>
      <t>FIC Corporate RF Ref DI - 03.069.104/0001-40</t>
    </r>
    <r>
      <rPr>
        <sz val="11"/>
        <color theme="1"/>
        <rFont val="Calibri"/>
        <family val="2"/>
        <scheme val="minor"/>
      </rPr>
      <t/>
    </r>
  </si>
  <si>
    <t>D + 0</t>
  </si>
  <si>
    <t>do CDI</t>
  </si>
  <si>
    <t>Santander FFIN1</t>
  </si>
  <si>
    <r>
      <t>FIC Instit Master DI - 02.367.527/0001-84</t>
    </r>
    <r>
      <rPr>
        <sz val="11"/>
        <color theme="1"/>
        <rFont val="Calibri"/>
        <family val="2"/>
        <scheme val="minor"/>
      </rPr>
      <t/>
    </r>
  </si>
  <si>
    <t>D + 1</t>
  </si>
  <si>
    <t>AZQUEST</t>
  </si>
  <si>
    <t>Yield FIQRF LP  CNPJ 16.599.968/0001-16</t>
  </si>
  <si>
    <t>34 - 0060 - 45.000479-9</t>
  </si>
  <si>
    <t>Soberano RF Simples   - 06.175.696/0001-73</t>
  </si>
  <si>
    <t>Instit ALOC DIN RF FIC  - 21.838.150/0001-49</t>
  </si>
  <si>
    <t>IPCA</t>
  </si>
  <si>
    <t>FI RF DI Premium - 03.399.411/0001-90</t>
  </si>
  <si>
    <t>Ourinvest</t>
  </si>
  <si>
    <t>Suppliercard Senior 1 - 08.692.888/0001-82</t>
  </si>
  <si>
    <t>D+120</t>
  </si>
  <si>
    <t>D+121</t>
  </si>
  <si>
    <t>BVA</t>
  </si>
  <si>
    <t>044 - 12233001</t>
  </si>
  <si>
    <t>Multisetorial Master II - 11.989.256/0001-90</t>
  </si>
  <si>
    <t>Fechado</t>
  </si>
  <si>
    <t>Trend Bank</t>
  </si>
  <si>
    <t>Senior Multsetorial - 08.927.488/0001-09</t>
  </si>
  <si>
    <t>Itaú RPI Ações Ibov FICFI - 08.817.414/0001-10</t>
  </si>
  <si>
    <t>D+2</t>
  </si>
  <si>
    <t>D+5</t>
  </si>
  <si>
    <t>do IBOV</t>
  </si>
  <si>
    <t>Renda Variável</t>
  </si>
  <si>
    <t>BNP Paribas</t>
  </si>
  <si>
    <t>Ace Ações IBRX  - 04.362.333/0001-11</t>
  </si>
  <si>
    <t>do IBRX</t>
  </si>
  <si>
    <t>422 - 02700 -020584-5</t>
  </si>
  <si>
    <t>FIA Caixa  Brasil ETF CNPJ 15.154.236/0001-50</t>
  </si>
  <si>
    <t>Renda variável</t>
  </si>
  <si>
    <t>FIC FIA Small Cap - 11.392.165/0001-72</t>
  </si>
  <si>
    <t>D+27</t>
  </si>
  <si>
    <t>D+28</t>
  </si>
  <si>
    <t>FIC FIA Ações - 07.279.657/0001-89</t>
  </si>
  <si>
    <t xml:space="preserve">ITAÚ </t>
  </si>
  <si>
    <r>
      <t>FIA Ações Dividendos -02.887.290/0001-62</t>
    </r>
    <r>
      <rPr>
        <sz val="11"/>
        <color theme="1"/>
        <rFont val="Calibri"/>
        <family val="2"/>
        <scheme val="minor"/>
      </rPr>
      <t/>
    </r>
  </si>
  <si>
    <t>FIC Valor Dividendos CNPJ 15.154.441/0001-15</t>
  </si>
  <si>
    <t>D+30</t>
  </si>
  <si>
    <t>D+33</t>
  </si>
  <si>
    <t>IDIV</t>
  </si>
  <si>
    <r>
      <t>ARX Investimentos</t>
    </r>
    <r>
      <rPr>
        <vertAlign val="superscript"/>
        <sz val="12"/>
        <rFont val="Arial"/>
        <family val="2"/>
      </rPr>
      <t>2)</t>
    </r>
  </si>
  <si>
    <t>237 - 2856-8 - 585.969-7</t>
  </si>
  <si>
    <r>
      <t>ARX Income FI  Ações-Divid -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>03.168.062/0001-03</t>
    </r>
  </si>
  <si>
    <t>Western Asset</t>
  </si>
  <si>
    <t>WA US Index 500 CNPJ 17.453.850/0001-48</t>
  </si>
  <si>
    <t>CDI</t>
  </si>
  <si>
    <r>
      <t>Capital Protegido Ibov FIM - 26.470.464/0001-55</t>
    </r>
    <r>
      <rPr>
        <sz val="11"/>
        <color theme="1"/>
        <rFont val="Calibri"/>
        <family val="2"/>
        <scheme val="minor"/>
      </rPr>
      <t/>
    </r>
  </si>
  <si>
    <t>D+360</t>
  </si>
  <si>
    <t>RB Capital</t>
  </si>
  <si>
    <t>FII Renda II - 09.006.914/0001-34 (107.933 quotas)</t>
  </si>
  <si>
    <t xml:space="preserve">Kinea </t>
  </si>
  <si>
    <t>FIP CNPJ 16.437.148/0001-28</t>
  </si>
  <si>
    <t>FIP</t>
  </si>
  <si>
    <t>BRZ Brasil Portos</t>
  </si>
  <si>
    <t>FIP CNPJ 14.737.553/0001-36</t>
  </si>
  <si>
    <t>BTG Pactual</t>
  </si>
  <si>
    <t>FIP Infraestr II  CNPJ 14.584.094/0001-06</t>
  </si>
  <si>
    <t xml:space="preserve">Disponibilidade de Caixa </t>
  </si>
  <si>
    <t>Disponibilidade em Caixa FFIN1</t>
  </si>
  <si>
    <t>Disponibilidade</t>
  </si>
  <si>
    <t>Disponibilidade em Caixa FFIN2( BB+Santander+Itaú+CEF)</t>
  </si>
  <si>
    <t>TOTAL DE ATIVOS</t>
  </si>
  <si>
    <t>IBOVESPA</t>
  </si>
  <si>
    <t>IFIX</t>
  </si>
  <si>
    <t>IRF-M</t>
  </si>
  <si>
    <t>FFIN2 -Ano</t>
  </si>
  <si>
    <t>Rentabilidade  no mês SBCPREV  FFIN2</t>
  </si>
  <si>
    <t>IBrX</t>
  </si>
  <si>
    <t>IMA-B</t>
  </si>
  <si>
    <t>IRFM 1</t>
  </si>
  <si>
    <t xml:space="preserve">Meta Atuarial - Ano </t>
  </si>
  <si>
    <t>INPC</t>
  </si>
  <si>
    <t>IBrX50</t>
  </si>
  <si>
    <t>IMA-G</t>
  </si>
  <si>
    <t>IRFM 1+</t>
  </si>
  <si>
    <t xml:space="preserve">FFIN2 - 12 meses </t>
  </si>
  <si>
    <t>SMLL</t>
  </si>
  <si>
    <t>IMA-B 5</t>
  </si>
  <si>
    <t>IMA- C</t>
  </si>
  <si>
    <t>Meta Atuarial - 12 Meses</t>
  </si>
  <si>
    <t>IMA-B 5+</t>
  </si>
  <si>
    <t>IMA-S</t>
  </si>
  <si>
    <t xml:space="preserve"> </t>
  </si>
  <si>
    <t>Total FFIN2 + FFINPrev</t>
  </si>
  <si>
    <t>Consolidado</t>
  </si>
  <si>
    <t>rentabilidade no mês</t>
  </si>
  <si>
    <t>Disponibilidade Caixa</t>
  </si>
  <si>
    <t>Disponibilidade de Caixa</t>
  </si>
  <si>
    <t>Total Geral</t>
  </si>
  <si>
    <r>
      <t xml:space="preserve">SBCPREV - </t>
    </r>
    <r>
      <rPr>
        <b/>
        <sz val="12"/>
        <color rgb="FFFF0000"/>
        <rFont val="Arial"/>
        <family val="2"/>
      </rPr>
      <t>FFIN2</t>
    </r>
    <r>
      <rPr>
        <b/>
        <sz val="12"/>
        <rFont val="Arial"/>
        <family val="2"/>
      </rPr>
      <t xml:space="preserve"> - RELATÓRIO DE ENQUADRAMENTO PERANTE A RESOLUÇÃO 3.922 -   BASE: 31/01/2018</t>
    </r>
  </si>
  <si>
    <t>Meta Atuarial(INPC 0,23 + 0,486755)</t>
  </si>
  <si>
    <t>Reag Renda Imob</t>
  </si>
  <si>
    <t>REAG FII - 17.374.696/0001-19</t>
  </si>
  <si>
    <t>Títulos Públicos - Art. 7º, Inciso I, Alínea A</t>
  </si>
  <si>
    <t>Fundos Referenciados Renda Fixa  que contenham somente TP - Art. 7º, Inciso I, Alínea B</t>
  </si>
  <si>
    <t>Art. 7º, Inciso I, Alínea C</t>
  </si>
  <si>
    <t>Operações Compromissadas Lastreadas Exclusivamente em TP - Art. 7º, Inciso II</t>
  </si>
  <si>
    <t>Art. 7º, Inciso II</t>
  </si>
  <si>
    <t>Fundos  Renda Fixa  "Referenciados"  - Art. 7º, Inciso III, Alínea "A"</t>
  </si>
  <si>
    <t xml:space="preserve">Renda Fixa </t>
  </si>
  <si>
    <t>Fundos de Índice ETF  Renda Fixa  que contenham somente TP - Art. 7º, Inciso I, Alínea C</t>
  </si>
  <si>
    <t>Artigo 7º, Inciso I,  Alinea "B"</t>
  </si>
  <si>
    <t>Artigo 7º, Inciso I,  Alinea "A"</t>
  </si>
  <si>
    <t>Fundos de Renda Fixa  Geral - Art. 7º, Inciso IV, Alínea "A"</t>
  </si>
  <si>
    <t>Artigo 7º, Inciso IV "A"</t>
  </si>
  <si>
    <t>Fundos de Índice ETF  Renda Fixa  - Demais Índices - Art. 7º, Inciso IV, Alínea "B"</t>
  </si>
  <si>
    <t>Art. 7º, Inciso IV, Alínea "B"</t>
  </si>
  <si>
    <t>Art. 7º, Inciso III,  Alínea "B"</t>
  </si>
  <si>
    <t>Fundos de Índice ETF  Renda Fixa  - Art. 7º, Inciso III,  Alínea B</t>
  </si>
  <si>
    <t>Letras Imobiliárias Garantida - Art. 7º, Inciso V, Alínea "B"</t>
  </si>
  <si>
    <t>Art. 7º, Inciso V, Alínea "B"</t>
  </si>
  <si>
    <t>Certificados de Depósitos Bancários - CDB - Art. 7º, Inciso VI, Alínea "A"</t>
  </si>
  <si>
    <t>Poupança - Art. 7º, Inciso VI, Alínea "B"</t>
  </si>
  <si>
    <t>Art. 7º, Inciso VI, Alínea "A"</t>
  </si>
  <si>
    <t>Art. 7º, Inciso VI, Alínea "B"</t>
  </si>
  <si>
    <t>FIDC Cotas Sênior -Art. 7º, Inciso VII, Alínea "A"</t>
  </si>
  <si>
    <t>Fundos Renda Fixa Crédito Privado - Art. 7º, Inciso VII, Alínea "B"</t>
  </si>
  <si>
    <t>Fundos de Debêntures de Infraestrutura -Art. 7º, Inciso VII, Alínea "C"</t>
  </si>
  <si>
    <t>Art. 7º, Inciso VII, Alínea "B"</t>
  </si>
  <si>
    <t>Art. 7º, Inciso VII, Alínea "C"</t>
  </si>
  <si>
    <t>Art. 7º, Inciso VII, Alínea "A"</t>
  </si>
  <si>
    <t>Fundo de Ações Referenciado -  Art. 8º, Inciso I, Alínea "A"</t>
  </si>
  <si>
    <t>Art. 8º, Inciso I, Alínea "B"</t>
  </si>
  <si>
    <t>Artigo 8º, Inciso I, Alínea "A"</t>
  </si>
  <si>
    <t>Fundo de Ações Abertos -  Art. 8º, Inciso II, Alínea "A"</t>
  </si>
  <si>
    <t>Artigo 8º, Inciso II, Alínea "B"</t>
  </si>
  <si>
    <t>Fundo de  Índices ETF Referenciado - Art. 8º, Inciso I, Alínea "B"</t>
  </si>
  <si>
    <t>Fundo de  Índices ETF Abertosd -  Art. 8º, Inciso II, Alínea "B"</t>
  </si>
  <si>
    <t>Fundos  Multimercados - Art. 8º, Inciso III</t>
  </si>
  <si>
    <t>Fundo de Participações - FIP - Art. 8º, Inciso IV, Alínea "A"</t>
  </si>
  <si>
    <t>Fundo Imobiliário FII - Art. 8º, Inciso IV, Alínea "B"</t>
  </si>
  <si>
    <t>Artigo 8º, Inciso III</t>
  </si>
  <si>
    <t>Artigo 8º, Inciso IV, Alínea "A"</t>
  </si>
  <si>
    <t>Artigo 8º, Inciso IV, Alínea "B"</t>
  </si>
  <si>
    <t>FII</t>
  </si>
  <si>
    <t>META ATUARIAL (INPC+6%a.a.)</t>
  </si>
  <si>
    <r>
      <rPr>
        <b/>
        <sz val="11"/>
        <color indexed="30"/>
        <rFont val="Arial"/>
        <family val="2"/>
      </rPr>
      <t>SUPERÁVIT</t>
    </r>
    <r>
      <rPr>
        <b/>
        <sz val="11"/>
        <rFont val="Arial"/>
        <family val="2"/>
      </rPr>
      <t xml:space="preserve"> / </t>
    </r>
    <r>
      <rPr>
        <b/>
        <sz val="11"/>
        <color indexed="10"/>
        <rFont val="Arial"/>
        <family val="2"/>
      </rPr>
      <t>DÉFICIT MENSAL</t>
    </r>
  </si>
  <si>
    <t>SBCPREV</t>
  </si>
  <si>
    <t>Acumulado</t>
  </si>
  <si>
    <t>ENTIDADE</t>
  </si>
  <si>
    <r>
      <rPr>
        <b/>
        <u/>
        <sz val="11"/>
        <rFont val="Arial"/>
        <family val="2"/>
      </rPr>
      <t xml:space="preserve"> FFIN2 - </t>
    </r>
    <r>
      <rPr>
        <sz val="11"/>
        <rFont val="Arial"/>
        <family val="2"/>
      </rPr>
      <t>RENTABILIDADE SBCPREV x META ATUARIAL (INPC + 6%)</t>
    </r>
  </si>
  <si>
    <t>Últimos 12 meses</t>
  </si>
  <si>
    <r>
      <rPr>
        <b/>
        <u/>
        <sz val="11"/>
        <rFont val="Arial"/>
        <family val="2"/>
      </rPr>
      <t>FFIN2 -</t>
    </r>
    <r>
      <rPr>
        <sz val="11"/>
        <rFont val="Arial"/>
        <family val="2"/>
      </rPr>
      <t>RENTABILIDADE SBCPREV x META ATUARIAL (INPC + 6%)</t>
    </r>
  </si>
  <si>
    <t>Exercício 2017</t>
  </si>
  <si>
    <t>Exercício 2016</t>
  </si>
  <si>
    <t>Exercício 2015</t>
  </si>
  <si>
    <t>RENTABILIDADE SBCPREV x META ATUARIAL (INPC + 6%)</t>
  </si>
  <si>
    <t>Exercício 2014</t>
  </si>
  <si>
    <t>Exercício 2013</t>
  </si>
  <si>
    <t>Exercício 2012</t>
  </si>
  <si>
    <t>RENTABILIDADE FUPREM x META ATUARIAL (INPC + 6%)</t>
  </si>
  <si>
    <t>da META</t>
  </si>
  <si>
    <t>FUPREM/SBCPREV</t>
  </si>
  <si>
    <t>SBSCPREV</t>
  </si>
  <si>
    <t>RENTABILIDADE FUPREM/SBCPREV x META ATUARIAL (INPC + 6%)</t>
  </si>
  <si>
    <t>Exercício 2011</t>
  </si>
  <si>
    <t>FUPREM</t>
  </si>
  <si>
    <t>Exercício 2010</t>
  </si>
  <si>
    <t>Exercício 2009</t>
  </si>
  <si>
    <t>Exercício 2018</t>
  </si>
  <si>
    <t>Artigo 8º, Inciso II, Alínea "A"</t>
  </si>
  <si>
    <r>
      <t xml:space="preserve">SBCPREV - </t>
    </r>
    <r>
      <rPr>
        <b/>
        <sz val="12"/>
        <color rgb="FFFF0000"/>
        <rFont val="Arial"/>
        <family val="2"/>
      </rPr>
      <t>FFIN2</t>
    </r>
    <r>
      <rPr>
        <b/>
        <sz val="12"/>
        <rFont val="Arial"/>
        <family val="2"/>
      </rPr>
      <t xml:space="preserve"> - RELATÓRIO DE ENQUADRAMENTO PERANTE A RESOLUÇÃO 3.922 -   BASE: 28/02/2018</t>
    </r>
  </si>
  <si>
    <t>WA FI Ações BDR Nível I - CNPJ: 19.831.126/0001-36</t>
  </si>
  <si>
    <t>S&amp;P500</t>
  </si>
  <si>
    <t>Meta Atuarial(INPC 0,18 + 0,486755)</t>
  </si>
  <si>
    <r>
      <t xml:space="preserve">SBCPREV - </t>
    </r>
    <r>
      <rPr>
        <b/>
        <sz val="12"/>
        <color rgb="FFFF0000"/>
        <rFont val="Arial"/>
        <family val="2"/>
      </rPr>
      <t>FFIN2</t>
    </r>
    <r>
      <rPr>
        <b/>
        <sz val="12"/>
        <rFont val="Arial"/>
        <family val="2"/>
      </rPr>
      <t xml:space="preserve"> - RELATÓRIO DE ENQUADRAMENTO PERANTE A RESOLUÇÃO 3.922 -   BASE: 31/03/2018</t>
    </r>
  </si>
  <si>
    <t>0,64,%</t>
  </si>
  <si>
    <t>Meta Atuarial(INPC 0,07 + 0,486755)</t>
  </si>
  <si>
    <r>
      <t xml:space="preserve">SBCPREV - </t>
    </r>
    <r>
      <rPr>
        <b/>
        <sz val="12"/>
        <color rgb="FFFF0000"/>
        <rFont val="Arial"/>
        <family val="2"/>
      </rPr>
      <t>FFIN2</t>
    </r>
    <r>
      <rPr>
        <b/>
        <sz val="12"/>
        <rFont val="Arial"/>
        <family val="2"/>
      </rPr>
      <t xml:space="preserve"> - RELATÓRIO DE ENQUADRAMENTO PERANTE A RESOLUÇÃO 3.922 -   BASE: 30/04/2018</t>
    </r>
  </si>
  <si>
    <t xml:space="preserve"> FI  IRF-M Títulos Públ. RF - 13.455.197/0001-03</t>
  </si>
  <si>
    <t>Renda Fixa                 Referenciado</t>
  </si>
  <si>
    <t>Art. 7º, Inciso III, Alínea "A"                                  ( 15% PL do FI )</t>
  </si>
  <si>
    <t>Meta Atuarial(INPC 0,21 + 0,486755)</t>
  </si>
  <si>
    <r>
      <t xml:space="preserve">SBCPREV - </t>
    </r>
    <r>
      <rPr>
        <b/>
        <sz val="12"/>
        <color rgb="FFFF0000"/>
        <rFont val="Arial"/>
        <family val="2"/>
      </rPr>
      <t>FFIN2</t>
    </r>
    <r>
      <rPr>
        <b/>
        <sz val="12"/>
        <rFont val="Arial"/>
        <family val="2"/>
      </rPr>
      <t xml:space="preserve"> - RELATÓRIO DE ENQUADRAMENTO PERANTE A RESOLUÇÃO 3.922 -   BASE: 31/05/2018</t>
    </r>
  </si>
  <si>
    <t>Kinea  II</t>
  </si>
  <si>
    <t>FIP CNPJ 27.782.774/0001-78</t>
  </si>
  <si>
    <t>Kinea IV Feeder</t>
  </si>
  <si>
    <t>Meta Atuarial(INPC 0,43 + 0,486755)</t>
  </si>
  <si>
    <r>
      <t xml:space="preserve">SBCPREV - </t>
    </r>
    <r>
      <rPr>
        <b/>
        <sz val="12"/>
        <color rgb="FFFF0000"/>
        <rFont val="Arial"/>
        <family val="2"/>
      </rPr>
      <t>FFIN2</t>
    </r>
    <r>
      <rPr>
        <b/>
        <sz val="12"/>
        <rFont val="Arial"/>
        <family val="2"/>
      </rPr>
      <t xml:space="preserve"> - RELATÓRIO DE ENQUADRAMENTO PERANTE A RESOLUÇÃO 3.922 -   BASE: 30/06/2018</t>
    </r>
  </si>
  <si>
    <t>Instit Ações Phoenix FIA -23.731.629/0001-07</t>
  </si>
  <si>
    <t>D+21</t>
  </si>
  <si>
    <t>D+24</t>
  </si>
  <si>
    <t>Meta Atuarial(INPC 1,43 + 0,486755)</t>
  </si>
  <si>
    <r>
      <t xml:space="preserve">SBCPREV - </t>
    </r>
    <r>
      <rPr>
        <b/>
        <sz val="12"/>
        <color rgb="FFFF0000"/>
        <rFont val="Arial"/>
        <family val="2"/>
      </rPr>
      <t>FFIN2</t>
    </r>
    <r>
      <rPr>
        <b/>
        <sz val="12"/>
        <rFont val="Arial"/>
        <family val="2"/>
      </rPr>
      <t xml:space="preserve"> - RELATÓRIO DE ENQUADRAMENTO PERANTE A RESOLUÇÃO 3.922 -   BASE: 31/07/2018</t>
    </r>
  </si>
  <si>
    <t>IPCA + 5,688 % aa</t>
  </si>
  <si>
    <t xml:space="preserve">CEFederal  (custodiante) </t>
  </si>
  <si>
    <t>NTN-B (ipca) venc 15/05/2035 - 13.000</t>
  </si>
  <si>
    <t>Santander FFIN1-380-9</t>
  </si>
  <si>
    <t>Meta Atuarial(INPC 0,25 + 0,486755)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</si>
</sst>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.000000_);_(* \(#,##0.000000\);_(* &quot;-&quot;??_);_(@_)"/>
    <numFmt numFmtId="167" formatCode="#,##0.0000"/>
    <numFmt numFmtId="168" formatCode="_(* #,##0_);_(* \(#,##0\);_(* &quot;-&quot;??_);_(@_)"/>
    <numFmt numFmtId="169" formatCode="0.00000000"/>
    <numFmt numFmtId="170" formatCode="#,##0.00_ ;[Red]\-#,##0.00\ "/>
    <numFmt numFmtId="171" formatCode="#,##0.0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rgb="FF0070C0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color rgb="FF00B0F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theme="3" tint="0.39997558519241921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11"/>
      <color rgb="FFFF0000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4"/>
      <name val="Arial"/>
      <family val="2"/>
    </font>
    <font>
      <b/>
      <sz val="14"/>
      <color rgb="FFFF0000"/>
      <name val="Arial"/>
      <family val="2"/>
    </font>
    <font>
      <b/>
      <sz val="5"/>
      <name val="Arial"/>
      <family val="2"/>
    </font>
    <font>
      <b/>
      <sz val="14"/>
      <color rgb="FF0070C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4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0" fontId="6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0" fillId="0" borderId="6" xfId="0" applyFill="1" applyBorder="1" applyAlignment="1"/>
    <xf numFmtId="0" fontId="0" fillId="0" borderId="10" xfId="0" applyFill="1" applyBorder="1" applyAlignment="1"/>
    <xf numFmtId="0" fontId="7" fillId="0" borderId="7" xfId="0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/>
    </xf>
    <xf numFmtId="10" fontId="11" fillId="0" borderId="14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0" fontId="14" fillId="0" borderId="2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 vertical="center"/>
    </xf>
    <xf numFmtId="165" fontId="14" fillId="0" borderId="15" xfId="2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5" fillId="0" borderId="18" xfId="0" applyFont="1" applyFill="1" applyBorder="1"/>
    <xf numFmtId="0" fontId="16" fillId="0" borderId="19" xfId="0" applyFont="1" applyFill="1" applyBorder="1"/>
    <xf numFmtId="0" fontId="17" fillId="0" borderId="19" xfId="0" applyFont="1" applyFill="1" applyBorder="1"/>
    <xf numFmtId="0" fontId="17" fillId="0" borderId="20" xfId="0" applyFont="1" applyFill="1" applyBorder="1"/>
    <xf numFmtId="164" fontId="15" fillId="0" borderId="21" xfId="1" applyNumberFormat="1" applyFont="1" applyFill="1" applyBorder="1"/>
    <xf numFmtId="10" fontId="14" fillId="0" borderId="22" xfId="2" applyNumberFormat="1" applyFont="1" applyFill="1" applyBorder="1" applyAlignment="1">
      <alignment horizontal="center"/>
    </xf>
    <xf numFmtId="10" fontId="14" fillId="0" borderId="23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/>
    <xf numFmtId="165" fontId="7" fillId="0" borderId="24" xfId="2" applyNumberFormat="1" applyFont="1" applyFill="1" applyBorder="1" applyAlignment="1"/>
    <xf numFmtId="3" fontId="18" fillId="0" borderId="25" xfId="1" applyNumberFormat="1" applyFont="1" applyFill="1" applyBorder="1" applyAlignment="1">
      <alignment horizontal="right"/>
    </xf>
    <xf numFmtId="10" fontId="14" fillId="0" borderId="26" xfId="1" applyNumberFormat="1" applyFont="1" applyFill="1" applyBorder="1" applyAlignment="1"/>
    <xf numFmtId="166" fontId="19" fillId="0" borderId="0" xfId="1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6" fontId="19" fillId="0" borderId="0" xfId="1" applyNumberFormat="1" applyFont="1" applyFill="1" applyAlignment="1">
      <alignment horizontal="right"/>
    </xf>
    <xf numFmtId="0" fontId="15" fillId="0" borderId="30" xfId="0" applyFont="1" applyFill="1" applyBorder="1"/>
    <xf numFmtId="0" fontId="16" fillId="0" borderId="31" xfId="0" applyFont="1" applyFill="1" applyBorder="1"/>
    <xf numFmtId="0" fontId="17" fillId="0" borderId="21" xfId="0" applyFont="1" applyFill="1" applyBorder="1"/>
    <xf numFmtId="0" fontId="17" fillId="0" borderId="32" xfId="0" applyFont="1" applyFill="1" applyBorder="1"/>
    <xf numFmtId="10" fontId="14" fillId="0" borderId="33" xfId="2" applyNumberFormat="1" applyFont="1" applyFill="1" applyBorder="1" applyAlignment="1">
      <alignment horizontal="center"/>
    </xf>
    <xf numFmtId="10" fontId="14" fillId="0" borderId="34" xfId="2" applyNumberFormat="1" applyFont="1" applyFill="1" applyBorder="1" applyAlignment="1">
      <alignment horizontal="center"/>
    </xf>
    <xf numFmtId="165" fontId="7" fillId="0" borderId="25" xfId="2" applyNumberFormat="1" applyFont="1" applyFill="1" applyBorder="1" applyAlignment="1"/>
    <xf numFmtId="165" fontId="7" fillId="0" borderId="0" xfId="2" applyNumberFormat="1" applyFont="1" applyFill="1" applyBorder="1" applyAlignment="1"/>
    <xf numFmtId="165" fontId="7" fillId="0" borderId="35" xfId="2" applyNumberFormat="1" applyFont="1" applyFill="1" applyBorder="1" applyAlignment="1"/>
    <xf numFmtId="3" fontId="18" fillId="0" borderId="36" xfId="1" applyNumberFormat="1" applyFont="1" applyFill="1" applyBorder="1" applyAlignment="1">
      <alignment horizontal="right"/>
    </xf>
    <xf numFmtId="10" fontId="14" fillId="0" borderId="0" xfId="1" applyNumberFormat="1" applyFont="1" applyFill="1" applyBorder="1" applyAlignment="1"/>
    <xf numFmtId="0" fontId="17" fillId="0" borderId="38" xfId="0" applyFont="1" applyFill="1" applyBorder="1"/>
    <xf numFmtId="164" fontId="15" fillId="0" borderId="37" xfId="1" applyNumberFormat="1" applyFont="1" applyFill="1" applyBorder="1"/>
    <xf numFmtId="10" fontId="14" fillId="0" borderId="39" xfId="2" applyNumberFormat="1" applyFont="1" applyFill="1" applyBorder="1" applyAlignment="1">
      <alignment horizontal="center"/>
    </xf>
    <xf numFmtId="165" fontId="7" fillId="0" borderId="26" xfId="2" applyNumberFormat="1" applyFont="1" applyFill="1" applyBorder="1" applyAlignment="1"/>
    <xf numFmtId="167" fontId="7" fillId="2" borderId="40" xfId="2" applyNumberFormat="1" applyFont="1" applyFill="1" applyBorder="1" applyAlignment="1"/>
    <xf numFmtId="3" fontId="18" fillId="0" borderId="41" xfId="1" applyNumberFormat="1" applyFont="1" applyFill="1" applyBorder="1" applyAlignment="1">
      <alignment horizontal="right"/>
    </xf>
    <xf numFmtId="10" fontId="14" fillId="0" borderId="42" xfId="1" applyNumberFormat="1" applyFont="1" applyFill="1" applyBorder="1" applyAlignment="1"/>
    <xf numFmtId="0" fontId="17" fillId="0" borderId="43" xfId="0" applyFont="1" applyFill="1" applyBorder="1"/>
    <xf numFmtId="164" fontId="15" fillId="0" borderId="19" xfId="1" applyNumberFormat="1" applyFont="1" applyFill="1" applyBorder="1"/>
    <xf numFmtId="165" fontId="7" fillId="0" borderId="36" xfId="2" applyNumberFormat="1" applyFont="1" applyFill="1" applyBorder="1" applyAlignment="1"/>
    <xf numFmtId="165" fontId="7" fillId="0" borderId="40" xfId="2" applyNumberFormat="1" applyFont="1" applyFill="1" applyBorder="1" applyAlignment="1"/>
    <xf numFmtId="10" fontId="14" fillId="0" borderId="24" xfId="1" applyNumberFormat="1" applyFont="1" applyFill="1" applyBorder="1" applyAlignment="1"/>
    <xf numFmtId="0" fontId="17" fillId="0" borderId="10" xfId="0" applyFont="1" applyFill="1" applyBorder="1"/>
    <xf numFmtId="0" fontId="17" fillId="0" borderId="31" xfId="0" applyFont="1" applyFill="1" applyBorder="1"/>
    <xf numFmtId="164" fontId="15" fillId="0" borderId="31" xfId="1" applyNumberFormat="1" applyFont="1" applyFill="1" applyBorder="1"/>
    <xf numFmtId="10" fontId="14" fillId="0" borderId="45" xfId="2" applyNumberFormat="1" applyFont="1" applyFill="1" applyBorder="1" applyAlignment="1">
      <alignment horizontal="center"/>
    </xf>
    <xf numFmtId="3" fontId="18" fillId="0" borderId="48" xfId="1" applyNumberFormat="1" applyFont="1" applyFill="1" applyBorder="1" applyAlignment="1">
      <alignment horizontal="right"/>
    </xf>
    <xf numFmtId="166" fontId="19" fillId="0" borderId="0" xfId="0" applyNumberFormat="1" applyFont="1" applyFill="1" applyAlignment="1">
      <alignment horizontal="right"/>
    </xf>
    <xf numFmtId="0" fontId="14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/>
    </xf>
    <xf numFmtId="10" fontId="14" fillId="0" borderId="0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8" xfId="0" applyNumberFormat="1" applyFont="1" applyFill="1" applyBorder="1" applyAlignment="1">
      <alignment horizontal="center" vertical="center"/>
    </xf>
    <xf numFmtId="0" fontId="15" fillId="0" borderId="51" xfId="0" applyFont="1" applyFill="1" applyBorder="1"/>
    <xf numFmtId="0" fontId="16" fillId="0" borderId="52" xfId="0" applyFont="1" applyFill="1" applyBorder="1"/>
    <xf numFmtId="0" fontId="17" fillId="0" borderId="5" xfId="0" applyFont="1" applyFill="1" applyBorder="1"/>
    <xf numFmtId="0" fontId="11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164" fontId="15" fillId="0" borderId="5" xfId="1" applyNumberFormat="1" applyFont="1" applyFill="1" applyBorder="1"/>
    <xf numFmtId="10" fontId="14" fillId="0" borderId="55" xfId="2" applyNumberFormat="1" applyFont="1" applyFill="1" applyBorder="1" applyAlignment="1">
      <alignment horizontal="center"/>
    </xf>
    <xf numFmtId="10" fontId="14" fillId="0" borderId="56" xfId="2" applyNumberFormat="1" applyFont="1" applyFill="1" applyBorder="1" applyAlignment="1">
      <alignment horizontal="center"/>
    </xf>
    <xf numFmtId="10" fontId="14" fillId="0" borderId="57" xfId="2" applyNumberFormat="1" applyFont="1" applyFill="1" applyBorder="1" applyAlignment="1">
      <alignment horizontal="center"/>
    </xf>
    <xf numFmtId="10" fontId="20" fillId="0" borderId="58" xfId="2" applyNumberFormat="1" applyFont="1" applyFill="1" applyBorder="1" applyAlignment="1">
      <alignment horizontal="center"/>
    </xf>
    <xf numFmtId="165" fontId="7" fillId="0" borderId="59" xfId="2" applyNumberFormat="1" applyFont="1" applyFill="1" applyBorder="1" applyAlignment="1">
      <alignment horizontal="left"/>
    </xf>
    <xf numFmtId="3" fontId="18" fillId="0" borderId="57" xfId="1" applyNumberFormat="1" applyFont="1" applyFill="1" applyBorder="1" applyAlignment="1">
      <alignment horizontal="right"/>
    </xf>
    <xf numFmtId="10" fontId="14" fillId="0" borderId="60" xfId="2" applyNumberFormat="1" applyFont="1" applyFill="1" applyBorder="1" applyAlignment="1">
      <alignment horizontal="center"/>
    </xf>
    <xf numFmtId="0" fontId="15" fillId="0" borderId="62" xfId="0" applyFont="1" applyFill="1" applyBorder="1"/>
    <xf numFmtId="0" fontId="16" fillId="0" borderId="10" xfId="0" applyFont="1" applyFill="1" applyBorder="1"/>
    <xf numFmtId="0" fontId="11" fillId="0" borderId="2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164" fontId="15" fillId="0" borderId="20" xfId="1" applyNumberFormat="1" applyFont="1" applyFill="1" applyBorder="1"/>
    <xf numFmtId="10" fontId="14" fillId="0" borderId="20" xfId="2" applyNumberFormat="1" applyFont="1" applyFill="1" applyBorder="1" applyAlignment="1">
      <alignment horizontal="center"/>
    </xf>
    <xf numFmtId="10" fontId="14" fillId="0" borderId="63" xfId="2" applyNumberFormat="1" applyFont="1" applyFill="1" applyBorder="1" applyAlignment="1">
      <alignment horizontal="center"/>
    </xf>
    <xf numFmtId="10" fontId="14" fillId="0" borderId="64" xfId="2" applyNumberFormat="1" applyFont="1" applyFill="1" applyBorder="1" applyAlignment="1">
      <alignment horizontal="center"/>
    </xf>
    <xf numFmtId="10" fontId="20" fillId="0" borderId="65" xfId="2" applyNumberFormat="1" applyFont="1" applyFill="1" applyBorder="1" applyAlignment="1">
      <alignment horizontal="center"/>
    </xf>
    <xf numFmtId="165" fontId="7" fillId="0" borderId="35" xfId="2" applyNumberFormat="1" applyFont="1" applyFill="1" applyBorder="1" applyAlignment="1">
      <alignment horizontal="left"/>
    </xf>
    <xf numFmtId="3" fontId="18" fillId="0" borderId="63" xfId="1" applyNumberFormat="1" applyFont="1" applyFill="1" applyBorder="1" applyAlignment="1">
      <alignment horizontal="right"/>
    </xf>
    <xf numFmtId="10" fontId="14" fillId="0" borderId="66" xfId="2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0" fontId="14" fillId="0" borderId="0" xfId="2" applyNumberFormat="1" applyFont="1" applyFill="1" applyBorder="1" applyAlignment="1">
      <alignment horizontal="center"/>
    </xf>
    <xf numFmtId="10" fontId="14" fillId="0" borderId="67" xfId="2" applyNumberFormat="1" applyFont="1" applyFill="1" applyBorder="1" applyAlignment="1">
      <alignment horizontal="center"/>
    </xf>
    <xf numFmtId="165" fontId="7" fillId="0" borderId="40" xfId="2" applyNumberFormat="1" applyFont="1" applyFill="1" applyBorder="1" applyAlignment="1">
      <alignment horizontal="left"/>
    </xf>
    <xf numFmtId="10" fontId="14" fillId="0" borderId="68" xfId="2" applyNumberFormat="1" applyFont="1" applyFill="1" applyBorder="1" applyAlignment="1">
      <alignment horizontal="center"/>
    </xf>
    <xf numFmtId="0" fontId="15" fillId="0" borderId="69" xfId="0" applyFont="1" applyFill="1" applyBorder="1"/>
    <xf numFmtId="164" fontId="15" fillId="0" borderId="32" xfId="1" applyNumberFormat="1" applyFont="1" applyFill="1" applyBorder="1"/>
    <xf numFmtId="10" fontId="17" fillId="0" borderId="70" xfId="2" applyNumberFormat="1" applyFont="1" applyFill="1" applyBorder="1" applyAlignment="1">
      <alignment horizontal="center"/>
    </xf>
    <xf numFmtId="10" fontId="21" fillId="0" borderId="71" xfId="2" applyNumberFormat="1" applyFont="1" applyFill="1" applyBorder="1" applyAlignment="1">
      <alignment horizontal="center"/>
    </xf>
    <xf numFmtId="165" fontId="17" fillId="0" borderId="72" xfId="2" applyNumberFormat="1" applyFont="1" applyFill="1" applyBorder="1" applyAlignment="1">
      <alignment horizontal="left"/>
    </xf>
    <xf numFmtId="3" fontId="18" fillId="0" borderId="73" xfId="1" applyNumberFormat="1" applyFont="1" applyFill="1" applyBorder="1" applyAlignment="1">
      <alignment horizontal="right"/>
    </xf>
    <xf numFmtId="0" fontId="11" fillId="0" borderId="74" xfId="0" applyFont="1" applyFill="1" applyBorder="1" applyAlignment="1">
      <alignment horizontal="center"/>
    </xf>
    <xf numFmtId="164" fontId="15" fillId="0" borderId="74" xfId="1" applyNumberFormat="1" applyFont="1" applyFill="1" applyBorder="1"/>
    <xf numFmtId="10" fontId="14" fillId="0" borderId="32" xfId="2" applyNumberFormat="1" applyFont="1" applyFill="1" applyBorder="1" applyAlignment="1">
      <alignment horizontal="center"/>
    </xf>
    <xf numFmtId="10" fontId="14" fillId="0" borderId="75" xfId="2" applyNumberFormat="1" applyFont="1" applyFill="1" applyBorder="1" applyAlignment="1">
      <alignment horizontal="center"/>
    </xf>
    <xf numFmtId="10" fontId="20" fillId="0" borderId="71" xfId="2" applyNumberFormat="1" applyFont="1" applyFill="1" applyBorder="1" applyAlignment="1">
      <alignment horizontal="center"/>
    </xf>
    <xf numFmtId="165" fontId="7" fillId="0" borderId="72" xfId="2" applyNumberFormat="1" applyFont="1" applyFill="1" applyBorder="1" applyAlignment="1">
      <alignment horizontal="left"/>
    </xf>
    <xf numFmtId="10" fontId="14" fillId="0" borderId="76" xfId="2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right"/>
    </xf>
    <xf numFmtId="10" fontId="1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17" fillId="0" borderId="52" xfId="0" applyFont="1" applyFill="1" applyBorder="1"/>
    <xf numFmtId="10" fontId="14" fillId="0" borderId="79" xfId="2" applyNumberFormat="1" applyFont="1" applyFill="1" applyBorder="1" applyAlignment="1">
      <alignment horizontal="center"/>
    </xf>
    <xf numFmtId="3" fontId="18" fillId="0" borderId="79" xfId="1" applyNumberFormat="1" applyFont="1" applyFill="1" applyBorder="1" applyAlignment="1">
      <alignment horizontal="right"/>
    </xf>
    <xf numFmtId="10" fontId="14" fillId="0" borderId="80" xfId="2" applyNumberFormat="1" applyFont="1" applyFill="1" applyBorder="1" applyAlignment="1">
      <alignment horizontal="center"/>
    </xf>
    <xf numFmtId="0" fontId="16" fillId="0" borderId="21" xfId="0" applyFont="1" applyFill="1" applyBorder="1"/>
    <xf numFmtId="0" fontId="7" fillId="0" borderId="21" xfId="0" applyFont="1" applyFill="1" applyBorder="1"/>
    <xf numFmtId="10" fontId="14" fillId="0" borderId="25" xfId="2" applyNumberFormat="1" applyFont="1" applyFill="1" applyBorder="1" applyAlignment="1">
      <alignment horizontal="center"/>
    </xf>
    <xf numFmtId="165" fontId="7" fillId="0" borderId="24" xfId="2" applyNumberFormat="1" applyFont="1" applyFill="1" applyBorder="1" applyAlignment="1">
      <alignment horizontal="left"/>
    </xf>
    <xf numFmtId="10" fontId="14" fillId="0" borderId="82" xfId="2" applyNumberFormat="1" applyFont="1" applyFill="1" applyBorder="1" applyAlignment="1">
      <alignment horizontal="center"/>
    </xf>
    <xf numFmtId="164" fontId="17" fillId="0" borderId="0" xfId="1" applyNumberFormat="1" applyFont="1" applyFill="1" applyBorder="1"/>
    <xf numFmtId="0" fontId="9" fillId="0" borderId="8" xfId="0" applyFont="1" applyFill="1" applyBorder="1" applyAlignment="1">
      <alignment horizontal="center" vertical="center"/>
    </xf>
    <xf numFmtId="10" fontId="14" fillId="0" borderId="74" xfId="2" applyNumberFormat="1" applyFont="1" applyFill="1" applyBorder="1" applyAlignment="1">
      <alignment horizontal="center"/>
    </xf>
    <xf numFmtId="10" fontId="14" fillId="0" borderId="27" xfId="2" applyNumberFormat="1" applyFont="1" applyFill="1" applyBorder="1" applyAlignment="1">
      <alignment horizontal="center"/>
    </xf>
    <xf numFmtId="10" fontId="14" fillId="0" borderId="83" xfId="2" applyNumberFormat="1" applyFont="1" applyFill="1" applyBorder="1" applyAlignment="1">
      <alignment horizontal="center"/>
    </xf>
    <xf numFmtId="10" fontId="20" fillId="0" borderId="84" xfId="2" applyNumberFormat="1" applyFont="1" applyFill="1" applyBorder="1" applyAlignment="1">
      <alignment horizontal="center"/>
    </xf>
    <xf numFmtId="165" fontId="7" fillId="0" borderId="85" xfId="2" applyNumberFormat="1" applyFont="1" applyFill="1" applyBorder="1" applyAlignment="1">
      <alignment horizontal="left"/>
    </xf>
    <xf numFmtId="3" fontId="18" fillId="0" borderId="22" xfId="1" applyNumberFormat="1" applyFont="1" applyFill="1" applyBorder="1" applyAlignment="1">
      <alignment horizontal="right"/>
    </xf>
    <xf numFmtId="10" fontId="14" fillId="0" borderId="86" xfId="2" applyNumberFormat="1" applyFont="1" applyFill="1" applyBorder="1" applyAlignment="1">
      <alignment horizontal="center"/>
    </xf>
    <xf numFmtId="10" fontId="14" fillId="0" borderId="87" xfId="2" applyNumberFormat="1" applyFont="1" applyFill="1" applyBorder="1" applyAlignment="1">
      <alignment horizontal="center"/>
    </xf>
    <xf numFmtId="10" fontId="20" fillId="0" borderId="81" xfId="2" applyNumberFormat="1" applyFont="1" applyFill="1" applyBorder="1" applyAlignment="1">
      <alignment horizontal="center"/>
    </xf>
    <xf numFmtId="0" fontId="15" fillId="0" borderId="36" xfId="0" applyFont="1" applyFill="1" applyBorder="1"/>
    <xf numFmtId="0" fontId="16" fillId="0" borderId="88" xfId="0" applyFont="1" applyFill="1" applyBorder="1"/>
    <xf numFmtId="0" fontId="17" fillId="0" borderId="0" xfId="0" applyFont="1" applyFill="1" applyBorder="1"/>
    <xf numFmtId="10" fontId="14" fillId="0" borderId="72" xfId="2" applyNumberFormat="1" applyFont="1" applyFill="1" applyBorder="1" applyAlignment="1">
      <alignment horizontal="center"/>
    </xf>
    <xf numFmtId="10" fontId="14" fillId="0" borderId="41" xfId="2" applyNumberFormat="1" applyFont="1" applyFill="1" applyBorder="1" applyAlignment="1">
      <alignment horizontal="center"/>
    </xf>
    <xf numFmtId="10" fontId="20" fillId="0" borderId="42" xfId="2" applyNumberFormat="1" applyFont="1" applyFill="1" applyBorder="1" applyAlignment="1">
      <alignment horizontal="center"/>
    </xf>
    <xf numFmtId="3" fontId="18" fillId="0" borderId="0" xfId="1" applyNumberFormat="1" applyFont="1" applyFill="1" applyBorder="1" applyAlignment="1">
      <alignment horizontal="right"/>
    </xf>
    <xf numFmtId="0" fontId="16" fillId="0" borderId="89" xfId="0" applyFont="1" applyFill="1" applyBorder="1"/>
    <xf numFmtId="0" fontId="11" fillId="0" borderId="90" xfId="0" applyFont="1" applyFill="1" applyBorder="1" applyAlignment="1">
      <alignment horizontal="center"/>
    </xf>
    <xf numFmtId="10" fontId="14" fillId="0" borderId="13" xfId="2" applyNumberFormat="1" applyFont="1" applyFill="1" applyBorder="1" applyAlignment="1">
      <alignment horizontal="center"/>
    </xf>
    <xf numFmtId="10" fontId="20" fillId="0" borderId="46" xfId="2" applyNumberFormat="1" applyFont="1" applyFill="1" applyBorder="1" applyAlignment="1">
      <alignment horizontal="center"/>
    </xf>
    <xf numFmtId="165" fontId="7" fillId="0" borderId="47" xfId="2" applyNumberFormat="1" applyFont="1" applyFill="1" applyBorder="1" applyAlignment="1">
      <alignment horizontal="left"/>
    </xf>
    <xf numFmtId="3" fontId="18" fillId="0" borderId="46" xfId="1" applyNumberFormat="1" applyFont="1" applyFill="1" applyBorder="1" applyAlignment="1">
      <alignment horizontal="right"/>
    </xf>
    <xf numFmtId="10" fontId="14" fillId="0" borderId="91" xfId="2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3" fontId="18" fillId="0" borderId="46" xfId="0" applyNumberFormat="1" applyFont="1" applyFill="1" applyBorder="1" applyAlignment="1">
      <alignment horizontal="right"/>
    </xf>
    <xf numFmtId="10" fontId="14" fillId="0" borderId="46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0" fontId="15" fillId="0" borderId="9" xfId="0" applyFont="1" applyFill="1" applyBorder="1"/>
    <xf numFmtId="0" fontId="11" fillId="0" borderId="78" xfId="0" applyFont="1" applyFill="1" applyBorder="1" applyAlignment="1">
      <alignment horizontal="center"/>
    </xf>
    <xf numFmtId="164" fontId="15" fillId="0" borderId="78" xfId="1" applyNumberFormat="1" applyFont="1" applyFill="1" applyBorder="1"/>
    <xf numFmtId="10" fontId="14" fillId="0" borderId="78" xfId="2" applyNumberFormat="1" applyFont="1" applyFill="1" applyBorder="1" applyAlignment="1">
      <alignment horizontal="center"/>
    </xf>
    <xf numFmtId="10" fontId="14" fillId="0" borderId="92" xfId="2" applyNumberFormat="1" applyFont="1" applyFill="1" applyBorder="1" applyAlignment="1">
      <alignment horizontal="center"/>
    </xf>
    <xf numFmtId="10" fontId="22" fillId="0" borderId="93" xfId="2" applyNumberFormat="1" applyFont="1" applyFill="1" applyBorder="1" applyAlignment="1">
      <alignment horizontal="center"/>
    </xf>
    <xf numFmtId="3" fontId="18" fillId="0" borderId="13" xfId="1" applyNumberFormat="1" applyFont="1" applyFill="1" applyBorder="1" applyAlignment="1">
      <alignment horizontal="right"/>
    </xf>
    <xf numFmtId="10" fontId="14" fillId="0" borderId="94" xfId="2" applyNumberFormat="1" applyFont="1" applyFill="1" applyBorder="1" applyAlignment="1">
      <alignment horizontal="center"/>
    </xf>
    <xf numFmtId="9" fontId="7" fillId="0" borderId="7" xfId="0" applyNumberFormat="1" applyFont="1" applyFill="1" applyBorder="1" applyAlignment="1">
      <alignment horizontal="center" vertical="center"/>
    </xf>
    <xf numFmtId="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0" fontId="14" fillId="0" borderId="13" xfId="2" applyNumberFormat="1" applyFont="1" applyFill="1" applyBorder="1" applyAlignment="1" applyProtection="1">
      <alignment horizontal="center"/>
      <protection locked="0"/>
    </xf>
    <xf numFmtId="10" fontId="20" fillId="0" borderId="95" xfId="2" applyNumberFormat="1" applyFont="1" applyFill="1" applyBorder="1" applyAlignment="1">
      <alignment horizontal="center"/>
    </xf>
    <xf numFmtId="43" fontId="9" fillId="0" borderId="2" xfId="0" applyNumberFormat="1" applyFont="1" applyFill="1" applyBorder="1" applyAlignment="1">
      <alignment horizontal="center"/>
    </xf>
    <xf numFmtId="0" fontId="15" fillId="0" borderId="18" xfId="0" applyFont="1" applyFill="1" applyBorder="1" applyAlignment="1"/>
    <xf numFmtId="0" fontId="16" fillId="0" borderId="37" xfId="0" applyFont="1" applyFill="1" applyBorder="1" applyAlignment="1"/>
    <xf numFmtId="0" fontId="17" fillId="0" borderId="37" xfId="0" applyFont="1" applyFill="1" applyBorder="1"/>
    <xf numFmtId="0" fontId="11" fillId="0" borderId="32" xfId="0" applyFont="1" applyFill="1" applyBorder="1" applyAlignment="1">
      <alignment horizontal="center"/>
    </xf>
    <xf numFmtId="164" fontId="15" fillId="0" borderId="21" xfId="1" applyNumberFormat="1" applyFont="1" applyFill="1" applyBorder="1" applyAlignment="1"/>
    <xf numFmtId="10" fontId="14" fillId="0" borderId="36" xfId="2" applyNumberFormat="1" applyFont="1" applyFill="1" applyBorder="1" applyAlignment="1">
      <alignment horizontal="center"/>
    </xf>
    <xf numFmtId="166" fontId="23" fillId="0" borderId="0" xfId="0" applyNumberFormat="1" applyFont="1" applyFill="1" applyAlignment="1">
      <alignment horizontal="right"/>
    </xf>
    <xf numFmtId="10" fontId="20" fillId="0" borderId="97" xfId="2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right"/>
    </xf>
    <xf numFmtId="0" fontId="17" fillId="0" borderId="21" xfId="0" applyFont="1" applyFill="1" applyBorder="1" applyAlignment="1"/>
    <xf numFmtId="10" fontId="14" fillId="0" borderId="98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0" fontId="14" fillId="0" borderId="3" xfId="2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/>
    <xf numFmtId="0" fontId="17" fillId="0" borderId="43" xfId="0" applyFont="1" applyFill="1" applyBorder="1" applyAlignment="1"/>
    <xf numFmtId="0" fontId="11" fillId="0" borderId="43" xfId="0" applyFont="1" applyFill="1" applyBorder="1" applyAlignment="1">
      <alignment horizontal="center"/>
    </xf>
    <xf numFmtId="164" fontId="15" fillId="0" borderId="43" xfId="1" applyNumberFormat="1" applyFont="1" applyFill="1" applyBorder="1" applyAlignment="1"/>
    <xf numFmtId="10" fontId="14" fillId="0" borderId="38" xfId="2" applyNumberFormat="1" applyFont="1" applyFill="1" applyBorder="1" applyAlignment="1">
      <alignment horizontal="center"/>
    </xf>
    <xf numFmtId="10" fontId="20" fillId="0" borderId="11" xfId="2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/>
    </xf>
    <xf numFmtId="9" fontId="7" fillId="0" borderId="99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0" fontId="16" fillId="0" borderId="37" xfId="0" applyFont="1" applyFill="1" applyBorder="1"/>
    <xf numFmtId="10" fontId="20" fillId="0" borderId="0" xfId="2" applyNumberFormat="1" applyFont="1" applyFill="1" applyBorder="1" applyAlignment="1">
      <alignment horizontal="center"/>
    </xf>
    <xf numFmtId="10" fontId="14" fillId="0" borderId="100" xfId="2" applyNumberFormat="1" applyFont="1" applyFill="1" applyBorder="1" applyAlignment="1">
      <alignment horizontal="center"/>
    </xf>
    <xf numFmtId="10" fontId="14" fillId="0" borderId="96" xfId="2" applyNumberFormat="1" applyFont="1" applyFill="1" applyBorder="1" applyAlignment="1">
      <alignment horizontal="center"/>
    </xf>
    <xf numFmtId="10" fontId="20" fillId="0" borderId="101" xfId="2" applyNumberFormat="1" applyFont="1" applyFill="1" applyBorder="1" applyAlignment="1">
      <alignment horizontal="center"/>
    </xf>
    <xf numFmtId="165" fontId="7" fillId="0" borderId="68" xfId="2" applyNumberFormat="1" applyFont="1" applyFill="1" applyBorder="1" applyAlignment="1">
      <alignment horizontal="left"/>
    </xf>
    <xf numFmtId="3" fontId="18" fillId="0" borderId="69" xfId="1" applyNumberFormat="1" applyFont="1" applyFill="1" applyBorder="1" applyAlignment="1">
      <alignment horizontal="right"/>
    </xf>
    <xf numFmtId="164" fontId="15" fillId="0" borderId="38" xfId="1" applyNumberFormat="1" applyFont="1" applyFill="1" applyBorder="1" applyAlignment="1"/>
    <xf numFmtId="3" fontId="18" fillId="0" borderId="18" xfId="1" applyNumberFormat="1" applyFont="1" applyFill="1" applyBorder="1" applyAlignment="1">
      <alignment horizontal="right"/>
    </xf>
    <xf numFmtId="10" fontId="14" fillId="0" borderId="102" xfId="2" applyNumberFormat="1" applyFont="1" applyFill="1" applyBorder="1" applyAlignment="1">
      <alignment horizontal="center"/>
    </xf>
    <xf numFmtId="164" fontId="15" fillId="0" borderId="43" xfId="1" applyNumberFormat="1" applyFont="1" applyFill="1" applyBorder="1"/>
    <xf numFmtId="10" fontId="14" fillId="0" borderId="103" xfId="2" applyNumberFormat="1" applyFont="1" applyFill="1" applyBorder="1" applyAlignment="1">
      <alignment horizontal="center"/>
    </xf>
    <xf numFmtId="10" fontId="20" fillId="0" borderId="93" xfId="2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/>
    </xf>
    <xf numFmtId="0" fontId="17" fillId="0" borderId="37" xfId="0" applyFont="1" applyFill="1" applyBorder="1" applyAlignment="1"/>
    <xf numFmtId="10" fontId="26" fillId="0" borderId="84" xfId="2" applyNumberFormat="1" applyFont="1" applyFill="1" applyBorder="1" applyAlignment="1">
      <alignment horizontal="center"/>
    </xf>
    <xf numFmtId="165" fontId="14" fillId="0" borderId="24" xfId="2" applyNumberFormat="1" applyFont="1" applyFill="1" applyBorder="1" applyAlignment="1">
      <alignment horizontal="left"/>
    </xf>
    <xf numFmtId="168" fontId="14" fillId="0" borderId="96" xfId="1" applyNumberFormat="1" applyFont="1" applyFill="1" applyBorder="1" applyAlignment="1">
      <alignment horizontal="left"/>
    </xf>
    <xf numFmtId="165" fontId="14" fillId="0" borderId="80" xfId="2" applyNumberFormat="1" applyFont="1" applyFill="1" applyBorder="1" applyAlignment="1">
      <alignment horizontal="center"/>
    </xf>
    <xf numFmtId="10" fontId="14" fillId="0" borderId="104" xfId="2" applyNumberFormat="1" applyFont="1" applyFill="1" applyBorder="1" applyAlignment="1">
      <alignment horizontal="center"/>
    </xf>
    <xf numFmtId="3" fontId="18" fillId="0" borderId="44" xfId="1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15" fillId="0" borderId="52" xfId="1" applyNumberFormat="1" applyFont="1" applyFill="1" applyBorder="1"/>
    <xf numFmtId="10" fontId="14" fillId="0" borderId="105" xfId="2" applyNumberFormat="1" applyFont="1" applyFill="1" applyBorder="1" applyAlignment="1">
      <alignment horizontal="center"/>
    </xf>
    <xf numFmtId="10" fontId="14" fillId="0" borderId="106" xfId="2" applyNumberFormat="1" applyFont="1" applyFill="1" applyBorder="1" applyAlignment="1">
      <alignment horizontal="center"/>
    </xf>
    <xf numFmtId="10" fontId="14" fillId="0" borderId="46" xfId="2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7" xfId="0" applyFill="1" applyBorder="1"/>
    <xf numFmtId="10" fontId="14" fillId="0" borderId="16" xfId="2" applyNumberFormat="1" applyFont="1" applyFill="1" applyBorder="1" applyAlignment="1">
      <alignment horizontal="center"/>
    </xf>
    <xf numFmtId="0" fontId="0" fillId="0" borderId="57" xfId="0" applyFill="1" applyBorder="1"/>
    <xf numFmtId="0" fontId="0" fillId="0" borderId="58" xfId="0" applyFill="1" applyBorder="1"/>
    <xf numFmtId="0" fontId="15" fillId="0" borderId="41" xfId="0" applyFont="1" applyFill="1" applyBorder="1"/>
    <xf numFmtId="0" fontId="0" fillId="0" borderId="108" xfId="0" applyFill="1" applyBorder="1"/>
    <xf numFmtId="0" fontId="0" fillId="0" borderId="43" xfId="0" applyFill="1" applyBorder="1"/>
    <xf numFmtId="0" fontId="0" fillId="0" borderId="64" xfId="0" applyFill="1" applyBorder="1"/>
    <xf numFmtId="0" fontId="0" fillId="0" borderId="65" xfId="0" applyFill="1" applyBorder="1"/>
    <xf numFmtId="0" fontId="0" fillId="0" borderId="22" xfId="0" applyFill="1" applyBorder="1"/>
    <xf numFmtId="0" fontId="15" fillId="0" borderId="44" xfId="0" applyFont="1" applyFill="1" applyBorder="1" applyAlignment="1"/>
    <xf numFmtId="0" fontId="0" fillId="0" borderId="31" xfId="0" applyFill="1" applyBorder="1"/>
    <xf numFmtId="0" fontId="0" fillId="0" borderId="82" xfId="0" applyFill="1" applyBorder="1"/>
    <xf numFmtId="0" fontId="0" fillId="0" borderId="93" xfId="0" applyFill="1" applyBorder="1"/>
    <xf numFmtId="0" fontId="0" fillId="0" borderId="46" xfId="0" applyFill="1" applyBorder="1"/>
    <xf numFmtId="0" fontId="9" fillId="0" borderId="109" xfId="0" applyFont="1" applyFill="1" applyBorder="1" applyAlignment="1">
      <alignment horizontal="center" vertical="center"/>
    </xf>
    <xf numFmtId="164" fontId="3" fillId="0" borderId="109" xfId="0" applyNumberFormat="1" applyFont="1" applyFill="1" applyBorder="1" applyAlignment="1">
      <alignment horizontal="center" vertical="center"/>
    </xf>
    <xf numFmtId="10" fontId="14" fillId="0" borderId="109" xfId="2" applyNumberFormat="1" applyFont="1" applyFill="1" applyBorder="1" applyAlignment="1">
      <alignment horizontal="center"/>
    </xf>
    <xf numFmtId="0" fontId="14" fillId="0" borderId="110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3" fontId="18" fillId="0" borderId="110" xfId="0" applyNumberFormat="1" applyFont="1" applyFill="1" applyBorder="1" applyAlignment="1">
      <alignment horizontal="right"/>
    </xf>
    <xf numFmtId="0" fontId="9" fillId="0" borderId="110" xfId="0" applyFont="1" applyFill="1" applyBorder="1" applyAlignment="1">
      <alignment horizontal="center" vertical="center"/>
    </xf>
    <xf numFmtId="43" fontId="9" fillId="0" borderId="109" xfId="0" applyNumberFormat="1" applyFont="1" applyFill="1" applyBorder="1" applyAlignment="1">
      <alignment horizontal="center"/>
    </xf>
    <xf numFmtId="0" fontId="9" fillId="0" borderId="109" xfId="0" applyFont="1" applyFill="1" applyBorder="1" applyAlignment="1">
      <alignment horizontal="center"/>
    </xf>
    <xf numFmtId="9" fontId="9" fillId="0" borderId="109" xfId="0" applyNumberFormat="1" applyFont="1" applyFill="1" applyBorder="1" applyAlignment="1">
      <alignment horizontal="center"/>
    </xf>
    <xf numFmtId="0" fontId="8" fillId="0" borderId="28" xfId="0" applyFont="1" applyFill="1" applyBorder="1"/>
    <xf numFmtId="0" fontId="0" fillId="0" borderId="16" xfId="0" applyFill="1" applyBorder="1"/>
    <xf numFmtId="0" fontId="0" fillId="0" borderId="29" xfId="0" applyFill="1" applyBorder="1"/>
    <xf numFmtId="0" fontId="0" fillId="0" borderId="5" xfId="0" applyFill="1" applyBorder="1"/>
    <xf numFmtId="0" fontId="0" fillId="0" borderId="52" xfId="0" applyFill="1" applyBorder="1"/>
    <xf numFmtId="164" fontId="15" fillId="0" borderId="29" xfId="1" applyNumberFormat="1" applyFont="1" applyFill="1" applyBorder="1"/>
    <xf numFmtId="164" fontId="0" fillId="0" borderId="79" xfId="1" applyNumberFormat="1" applyFont="1" applyFill="1" applyBorder="1"/>
    <xf numFmtId="164" fontId="0" fillId="0" borderId="105" xfId="1" applyNumberFormat="1" applyFont="1" applyFill="1" applyBorder="1"/>
    <xf numFmtId="164" fontId="0" fillId="0" borderId="80" xfId="1" applyNumberFormat="1" applyFont="1" applyFill="1" applyBorder="1"/>
    <xf numFmtId="3" fontId="27" fillId="0" borderId="28" xfId="1" applyNumberFormat="1" applyFont="1" applyFill="1" applyBorder="1" applyAlignment="1">
      <alignment horizontal="right"/>
    </xf>
    <xf numFmtId="10" fontId="27" fillId="0" borderId="85" xfId="1" applyNumberFormat="1" applyFont="1" applyFill="1" applyBorder="1"/>
    <xf numFmtId="0" fontId="0" fillId="0" borderId="79" xfId="0" applyFill="1" applyBorder="1"/>
    <xf numFmtId="9" fontId="0" fillId="0" borderId="54" xfId="2" applyFont="1" applyFill="1" applyBorder="1"/>
    <xf numFmtId="0" fontId="8" fillId="0" borderId="81" xfId="0" applyFont="1" applyFill="1" applyBorder="1"/>
    <xf numFmtId="0" fontId="0" fillId="0" borderId="26" xfId="0" applyFill="1" applyBorder="1"/>
    <xf numFmtId="0" fontId="0" fillId="0" borderId="77" xfId="0" applyFill="1" applyBorder="1"/>
    <xf numFmtId="0" fontId="0" fillId="0" borderId="21" xfId="0" applyFill="1" applyBorder="1"/>
    <xf numFmtId="10" fontId="14" fillId="0" borderId="111" xfId="2" applyNumberFormat="1" applyFont="1" applyFill="1" applyBorder="1" applyAlignment="1">
      <alignment horizontal="center"/>
    </xf>
    <xf numFmtId="164" fontId="0" fillId="0" borderId="25" xfId="1" applyNumberFormat="1" applyFont="1" applyFill="1" applyBorder="1"/>
    <xf numFmtId="164" fontId="0" fillId="0" borderId="26" xfId="1" applyNumberFormat="1" applyFont="1" applyFill="1" applyBorder="1"/>
    <xf numFmtId="164" fontId="0" fillId="0" borderId="40" xfId="1" applyNumberFormat="1" applyFont="1" applyFill="1" applyBorder="1"/>
    <xf numFmtId="3" fontId="27" fillId="0" borderId="26" xfId="1" applyNumberFormat="1" applyFont="1" applyFill="1" applyBorder="1" applyAlignment="1">
      <alignment horizontal="right"/>
    </xf>
    <xf numFmtId="10" fontId="27" fillId="0" borderId="40" xfId="1" applyNumberFormat="1" applyFont="1" applyFill="1" applyBorder="1"/>
    <xf numFmtId="0" fontId="0" fillId="0" borderId="25" xfId="0" applyFill="1" applyBorder="1"/>
    <xf numFmtId="9" fontId="0" fillId="0" borderId="21" xfId="2" applyFont="1" applyFill="1" applyBorder="1"/>
    <xf numFmtId="169" fontId="0" fillId="0" borderId="0" xfId="0" applyNumberFormat="1" applyFill="1" applyBorder="1"/>
    <xf numFmtId="169" fontId="0" fillId="0" borderId="0" xfId="0" applyNumberFormat="1" applyFill="1" applyBorder="1" applyAlignment="1">
      <alignment horizontal="center"/>
    </xf>
    <xf numFmtId="0" fontId="3" fillId="0" borderId="13" xfId="0" applyFont="1" applyFill="1" applyBorder="1" applyAlignment="1"/>
    <xf numFmtId="0" fontId="3" fillId="0" borderId="46" xfId="0" applyFont="1" applyFill="1" applyBorder="1" applyAlignment="1"/>
    <xf numFmtId="0" fontId="3" fillId="0" borderId="46" xfId="0" applyFont="1" applyFill="1" applyBorder="1"/>
    <xf numFmtId="0" fontId="3" fillId="0" borderId="78" xfId="0" applyFont="1" applyFill="1" applyBorder="1"/>
    <xf numFmtId="164" fontId="3" fillId="0" borderId="31" xfId="1" applyNumberFormat="1" applyFont="1" applyFill="1" applyBorder="1"/>
    <xf numFmtId="10" fontId="3" fillId="0" borderId="103" xfId="1" applyNumberFormat="1" applyFont="1" applyFill="1" applyBorder="1"/>
    <xf numFmtId="164" fontId="8" fillId="0" borderId="104" xfId="1" applyNumberFormat="1" applyFont="1" applyFill="1" applyBorder="1"/>
    <xf numFmtId="164" fontId="3" fillId="0" borderId="13" xfId="1" applyNumberFormat="1" applyFont="1" applyFill="1" applyBorder="1"/>
    <xf numFmtId="164" fontId="3" fillId="0" borderId="46" xfId="1" applyNumberFormat="1" applyFont="1" applyFill="1" applyBorder="1"/>
    <xf numFmtId="164" fontId="3" fillId="0" borderId="47" xfId="1" applyNumberFormat="1" applyFont="1" applyFill="1" applyBorder="1"/>
    <xf numFmtId="3" fontId="28" fillId="0" borderId="46" xfId="1" applyNumberFormat="1" applyFont="1" applyFill="1" applyBorder="1" applyAlignment="1">
      <alignment horizontal="right"/>
    </xf>
    <xf numFmtId="10" fontId="8" fillId="0" borderId="47" xfId="1" applyNumberFormat="1" applyFont="1" applyFill="1" applyBorder="1"/>
    <xf numFmtId="164" fontId="3" fillId="0" borderId="104" xfId="1" applyNumberFormat="1" applyFont="1" applyFill="1" applyBorder="1"/>
    <xf numFmtId="165" fontId="12" fillId="0" borderId="46" xfId="0" applyNumberFormat="1" applyFont="1" applyFill="1" applyBorder="1" applyAlignment="1">
      <alignment horizontal="center"/>
    </xf>
    <xf numFmtId="165" fontId="3" fillId="0" borderId="48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50" xfId="0" applyFont="1" applyFill="1" applyBorder="1"/>
    <xf numFmtId="0" fontId="12" fillId="0" borderId="0" xfId="0" applyFont="1" applyFill="1"/>
    <xf numFmtId="10" fontId="12" fillId="0" borderId="0" xfId="0" applyNumberFormat="1" applyFont="1" applyFill="1"/>
    <xf numFmtId="10" fontId="12" fillId="0" borderId="0" xfId="2" applyNumberFormat="1" applyFont="1" applyFill="1"/>
    <xf numFmtId="164" fontId="0" fillId="0" borderId="0" xfId="1" applyNumberFormat="1" applyFont="1" applyFill="1"/>
    <xf numFmtId="3" fontId="5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0" fontId="29" fillId="0" borderId="0" xfId="0" applyFont="1" applyFill="1"/>
    <xf numFmtId="10" fontId="30" fillId="0" borderId="0" xfId="2" applyNumberFormat="1" applyFont="1" applyFill="1"/>
    <xf numFmtId="0" fontId="8" fillId="0" borderId="0" xfId="0" applyFont="1" applyFill="1"/>
    <xf numFmtId="10" fontId="2" fillId="0" borderId="0" xfId="0" applyNumberFormat="1" applyFont="1" applyFill="1" applyBorder="1"/>
    <xf numFmtId="10" fontId="8" fillId="0" borderId="0" xfId="0" applyNumberFormat="1" applyFont="1" applyFill="1"/>
    <xf numFmtId="4" fontId="0" fillId="0" borderId="0" xfId="0" applyNumberFormat="1" applyFill="1" applyAlignment="1">
      <alignment horizontal="right"/>
    </xf>
    <xf numFmtId="164" fontId="0" fillId="0" borderId="0" xfId="0" applyNumberFormat="1" applyFill="1" applyBorder="1"/>
    <xf numFmtId="10" fontId="0" fillId="0" borderId="0" xfId="0" applyNumberFormat="1" applyFill="1"/>
    <xf numFmtId="4" fontId="0" fillId="0" borderId="0" xfId="0" applyNumberFormat="1" applyAlignment="1">
      <alignment horizontal="right"/>
    </xf>
    <xf numFmtId="170" fontId="31" fillId="0" borderId="0" xfId="0" applyNumberFormat="1" applyFont="1" applyFill="1"/>
    <xf numFmtId="3" fontId="32" fillId="0" borderId="0" xfId="0" applyNumberFormat="1" applyFont="1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10" fontId="12" fillId="0" borderId="0" xfId="2" applyNumberFormat="1" applyFont="1"/>
    <xf numFmtId="0" fontId="12" fillId="0" borderId="0" xfId="0" applyFont="1"/>
    <xf numFmtId="3" fontId="32" fillId="0" borderId="0" xfId="0" applyNumberFormat="1" applyFont="1" applyAlignment="1">
      <alignment horizontal="right"/>
    </xf>
    <xf numFmtId="10" fontId="0" fillId="0" borderId="0" xfId="0" applyNumberFormat="1"/>
    <xf numFmtId="171" fontId="0" fillId="0" borderId="0" xfId="0" applyNumberFormat="1" applyFill="1"/>
    <xf numFmtId="10" fontId="33" fillId="2" borderId="0" xfId="0" applyNumberFormat="1" applyFont="1" applyFill="1"/>
    <xf numFmtId="4" fontId="32" fillId="0" borderId="0" xfId="0" applyNumberFormat="1" applyFont="1" applyAlignment="1">
      <alignment horizontal="right"/>
    </xf>
    <xf numFmtId="0" fontId="33" fillId="2" borderId="0" xfId="0" applyFont="1" applyFill="1"/>
    <xf numFmtId="10" fontId="2" fillId="0" borderId="0" xfId="0" applyNumberFormat="1" applyFont="1"/>
    <xf numFmtId="0" fontId="7" fillId="0" borderId="10" xfId="0" applyFont="1" applyFill="1" applyBorder="1" applyAlignment="1">
      <alignment horizontal="center" vertical="center"/>
    </xf>
    <xf numFmtId="9" fontId="7" fillId="0" borderId="50" xfId="0" applyNumberFormat="1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165" fontId="7" fillId="0" borderId="46" xfId="2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15" fillId="0" borderId="46" xfId="1" applyNumberFormat="1" applyFont="1" applyFill="1" applyBorder="1"/>
    <xf numFmtId="164" fontId="15" fillId="0" borderId="0" xfId="1" applyNumberFormat="1" applyFont="1" applyFill="1" applyBorder="1"/>
    <xf numFmtId="165" fontId="7" fillId="0" borderId="0" xfId="2" applyNumberFormat="1" applyFont="1" applyFill="1" applyBorder="1" applyAlignment="1">
      <alignment horizontal="left"/>
    </xf>
    <xf numFmtId="0" fontId="0" fillId="0" borderId="46" xfId="0" applyFill="1" applyBorder="1" applyAlignment="1">
      <alignment horizontal="center" vertical="center"/>
    </xf>
    <xf numFmtId="0" fontId="16" fillId="0" borderId="113" xfId="0" applyFont="1" applyFill="1" applyBorder="1"/>
    <xf numFmtId="164" fontId="15" fillId="0" borderId="90" xfId="1" applyNumberFormat="1" applyFont="1" applyFill="1" applyBorder="1"/>
    <xf numFmtId="10" fontId="14" fillId="0" borderId="90" xfId="2" applyNumberFormat="1" applyFont="1" applyFill="1" applyBorder="1" applyAlignment="1">
      <alignment horizontal="center"/>
    </xf>
    <xf numFmtId="10" fontId="14" fillId="0" borderId="114" xfId="2" applyNumberFormat="1" applyFont="1" applyFill="1" applyBorder="1" applyAlignment="1">
      <alignment horizontal="center"/>
    </xf>
    <xf numFmtId="165" fontId="7" fillId="0" borderId="115" xfId="2" applyNumberFormat="1" applyFont="1" applyFill="1" applyBorder="1" applyAlignment="1">
      <alignment horizontal="left"/>
    </xf>
    <xf numFmtId="3" fontId="18" fillId="0" borderId="1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 vertical="center"/>
    </xf>
    <xf numFmtId="164" fontId="15" fillId="0" borderId="2" xfId="1" applyNumberFormat="1" applyFont="1" applyFill="1" applyBorder="1"/>
    <xf numFmtId="10" fontId="20" fillId="0" borderId="2" xfId="2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/>
    </xf>
    <xf numFmtId="3" fontId="18" fillId="0" borderId="16" xfId="1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 vertical="center"/>
    </xf>
    <xf numFmtId="165" fontId="7" fillId="0" borderId="3" xfId="2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164" fontId="15" fillId="0" borderId="8" xfId="1" applyNumberFormat="1" applyFont="1" applyFill="1" applyBorder="1"/>
    <xf numFmtId="164" fontId="15" fillId="0" borderId="17" xfId="1" applyNumberFormat="1" applyFont="1" applyFill="1" applyBorder="1"/>
    <xf numFmtId="0" fontId="11" fillId="0" borderId="31" xfId="0" applyFont="1" applyFill="1" applyBorder="1" applyAlignment="1">
      <alignment horizontal="center"/>
    </xf>
    <xf numFmtId="10" fontId="14" fillId="0" borderId="73" xfId="2" applyNumberFormat="1" applyFont="1" applyFill="1" applyBorder="1" applyAlignment="1">
      <alignment horizontal="center"/>
    </xf>
    <xf numFmtId="10" fontId="22" fillId="0" borderId="71" xfId="2" applyNumberFormat="1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10" fontId="14" fillId="0" borderId="7" xfId="2" applyNumberFormat="1" applyFont="1" applyFill="1" applyBorder="1" applyAlignment="1">
      <alignment horizontal="center"/>
    </xf>
    <xf numFmtId="10" fontId="14" fillId="0" borderId="49" xfId="2" applyNumberFormat="1" applyFont="1" applyFill="1" applyBorder="1" applyAlignment="1">
      <alignment horizontal="center"/>
    </xf>
    <xf numFmtId="10" fontId="22" fillId="0" borderId="2" xfId="2" applyNumberFormat="1" applyFont="1" applyFill="1" applyBorder="1" applyAlignment="1">
      <alignment horizontal="center"/>
    </xf>
    <xf numFmtId="3" fontId="18" fillId="0" borderId="7" xfId="1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center" vertical="center"/>
    </xf>
    <xf numFmtId="165" fontId="7" fillId="0" borderId="46" xfId="2" applyNumberFormat="1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0" fontId="14" fillId="0" borderId="46" xfId="2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/>
    <xf numFmtId="0" fontId="16" fillId="2" borderId="0" xfId="0" applyFont="1" applyFill="1" applyBorder="1"/>
    <xf numFmtId="0" fontId="17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7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9" fillId="2" borderId="1" xfId="0" applyFont="1" applyFill="1" applyBorder="1"/>
    <xf numFmtId="0" fontId="7" fillId="2" borderId="2" xfId="0" applyFont="1" applyFill="1" applyBorder="1"/>
    <xf numFmtId="0" fontId="11" fillId="2" borderId="46" xfId="0" applyFont="1" applyFill="1" applyBorder="1" applyAlignment="1">
      <alignment horizontal="center"/>
    </xf>
    <xf numFmtId="0" fontId="9" fillId="2" borderId="13" xfId="0" applyFont="1" applyFill="1" applyBorder="1"/>
    <xf numFmtId="0" fontId="17" fillId="2" borderId="46" xfId="0" applyFont="1" applyFill="1" applyBorder="1"/>
    <xf numFmtId="0" fontId="17" fillId="2" borderId="46" xfId="0" applyFont="1" applyFill="1" applyBorder="1" applyAlignment="1"/>
    <xf numFmtId="9" fontId="7" fillId="0" borderId="4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16" fillId="0" borderId="43" xfId="0" applyFont="1" applyFill="1" applyBorder="1"/>
    <xf numFmtId="165" fontId="7" fillId="0" borderId="41" xfId="2" applyNumberFormat="1" applyFont="1" applyFill="1" applyBorder="1" applyAlignment="1"/>
    <xf numFmtId="165" fontId="7" fillId="0" borderId="42" xfId="2" applyNumberFormat="1" applyFont="1" applyFill="1" applyBorder="1" applyAlignment="1"/>
    <xf numFmtId="165" fontId="7" fillId="0" borderId="72" xfId="2" applyNumberFormat="1" applyFont="1" applyFill="1" applyBorder="1" applyAlignment="1"/>
    <xf numFmtId="10" fontId="14" fillId="0" borderId="3" xfId="0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distributed"/>
    </xf>
    <xf numFmtId="164" fontId="15" fillId="0" borderId="2" xfId="1" applyNumberFormat="1" applyFont="1" applyFill="1" applyBorder="1" applyAlignment="1">
      <alignment horizontal="right"/>
    </xf>
    <xf numFmtId="164" fontId="15" fillId="0" borderId="38" xfId="1" applyNumberFormat="1" applyFont="1" applyFill="1" applyBorder="1"/>
    <xf numFmtId="10" fontId="14" fillId="0" borderId="34" xfId="2" applyNumberFormat="1" applyFont="1" applyFill="1" applyBorder="1" applyAlignment="1" applyProtection="1">
      <alignment horizontal="center"/>
      <protection locked="0"/>
    </xf>
    <xf numFmtId="10" fontId="22" fillId="0" borderId="97" xfId="2" applyNumberFormat="1" applyFont="1" applyFill="1" applyBorder="1" applyAlignment="1">
      <alignment horizontal="center"/>
    </xf>
    <xf numFmtId="10" fontId="22" fillId="0" borderId="81" xfId="2" applyNumberFormat="1" applyFont="1" applyFill="1" applyBorder="1" applyAlignment="1">
      <alignment horizontal="center"/>
    </xf>
    <xf numFmtId="3" fontId="18" fillId="0" borderId="64" xfId="1" applyNumberFormat="1" applyFont="1" applyFill="1" applyBorder="1" applyAlignment="1">
      <alignment horizontal="right"/>
    </xf>
    <xf numFmtId="0" fontId="11" fillId="0" borderId="116" xfId="0" applyFont="1" applyFill="1" applyBorder="1" applyAlignment="1">
      <alignment horizontal="center"/>
    </xf>
    <xf numFmtId="10" fontId="22" fillId="0" borderId="0" xfId="2" applyNumberFormat="1" applyFont="1" applyFill="1" applyBorder="1" applyAlignment="1">
      <alignment horizontal="center"/>
    </xf>
    <xf numFmtId="10" fontId="14" fillId="0" borderId="59" xfId="2" applyNumberFormat="1" applyFont="1" applyFill="1" applyBorder="1" applyAlignment="1">
      <alignment horizontal="center"/>
    </xf>
    <xf numFmtId="10" fontId="14" fillId="0" borderId="40" xfId="2" applyNumberFormat="1" applyFont="1" applyFill="1" applyBorder="1" applyAlignment="1">
      <alignment horizontal="center"/>
    </xf>
    <xf numFmtId="3" fontId="18" fillId="0" borderId="61" xfId="1" applyNumberFormat="1" applyFont="1" applyFill="1" applyBorder="1" applyAlignment="1">
      <alignment horizontal="right"/>
    </xf>
    <xf numFmtId="3" fontId="24" fillId="0" borderId="30" xfId="0" applyNumberFormat="1" applyFont="1" applyFill="1" applyBorder="1" applyAlignment="1">
      <alignment horizontal="right"/>
    </xf>
    <xf numFmtId="3" fontId="18" fillId="0" borderId="30" xfId="1" applyNumberFormat="1" applyFont="1" applyFill="1" applyBorder="1" applyAlignment="1">
      <alignment horizontal="right"/>
    </xf>
    <xf numFmtId="3" fontId="18" fillId="0" borderId="9" xfId="1" applyNumberFormat="1" applyFont="1" applyFill="1" applyBorder="1" applyAlignment="1">
      <alignment horizontal="right"/>
    </xf>
    <xf numFmtId="0" fontId="36" fillId="3" borderId="0" xfId="0" applyFont="1" applyFill="1" applyAlignment="1">
      <alignment horizontal="center"/>
    </xf>
    <xf numFmtId="2" fontId="36" fillId="3" borderId="15" xfId="0" applyNumberFormat="1" applyFont="1" applyFill="1" applyBorder="1" applyAlignment="1">
      <alignment horizontal="center"/>
    </xf>
    <xf numFmtId="2" fontId="36" fillId="0" borderId="15" xfId="2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2" fontId="37" fillId="4" borderId="15" xfId="2" applyNumberFormat="1" applyFont="1" applyFill="1" applyBorder="1" applyAlignment="1">
      <alignment horizontal="center"/>
    </xf>
    <xf numFmtId="0" fontId="38" fillId="4" borderId="15" xfId="2" applyNumberFormat="1" applyFont="1" applyFill="1" applyBorder="1" applyAlignment="1">
      <alignment horizontal="center"/>
    </xf>
    <xf numFmtId="0" fontId="39" fillId="4" borderId="15" xfId="2" applyNumberFormat="1" applyFont="1" applyFill="1" applyBorder="1" applyAlignment="1">
      <alignment horizontal="center"/>
    </xf>
    <xf numFmtId="0" fontId="40" fillId="4" borderId="15" xfId="2" applyNumberFormat="1" applyFont="1" applyFill="1" applyBorder="1" applyAlignment="1">
      <alignment horizontal="center"/>
    </xf>
    <xf numFmtId="0" fontId="37" fillId="4" borderId="15" xfId="2" applyNumberFormat="1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2" fontId="43" fillId="0" borderId="15" xfId="2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4" borderId="117" xfId="0" applyFont="1" applyFill="1" applyBorder="1" applyAlignment="1">
      <alignment horizontal="center" vertical="center"/>
    </xf>
    <xf numFmtId="17" fontId="6" fillId="4" borderId="118" xfId="0" applyNumberFormat="1" applyFont="1" applyFill="1" applyBorder="1" applyAlignment="1">
      <alignment horizontal="center" vertical="center"/>
    </xf>
    <xf numFmtId="17" fontId="6" fillId="4" borderId="119" xfId="0" applyNumberFormat="1" applyFont="1" applyFill="1" applyBorder="1" applyAlignment="1">
      <alignment horizontal="center" vertical="center"/>
    </xf>
    <xf numFmtId="17" fontId="6" fillId="4" borderId="1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8" fillId="4" borderId="15" xfId="2" applyNumberFormat="1" applyFont="1" applyFill="1" applyBorder="1" applyAlignment="1">
      <alignment horizontal="center"/>
    </xf>
    <xf numFmtId="2" fontId="39" fillId="4" borderId="15" xfId="2" applyNumberFormat="1" applyFont="1" applyFill="1" applyBorder="1" applyAlignment="1">
      <alignment horizontal="center"/>
    </xf>
    <xf numFmtId="2" fontId="40" fillId="4" borderId="15" xfId="2" applyNumberFormat="1" applyFont="1" applyFill="1" applyBorder="1" applyAlignment="1">
      <alignment horizontal="center"/>
    </xf>
    <xf numFmtId="2" fontId="6" fillId="4" borderId="48" xfId="0" applyNumberFormat="1" applyFont="1" applyFill="1" applyBorder="1" applyAlignment="1">
      <alignment horizontal="center"/>
    </xf>
    <xf numFmtId="2" fontId="37" fillId="7" borderId="0" xfId="2" applyNumberFormat="1" applyFont="1" applyFill="1" applyBorder="1" applyAlignment="1">
      <alignment horizontal="center"/>
    </xf>
    <xf numFmtId="0" fontId="38" fillId="7" borderId="0" xfId="2" applyNumberFormat="1" applyFont="1" applyFill="1" applyBorder="1" applyAlignment="1">
      <alignment horizontal="center"/>
    </xf>
    <xf numFmtId="0" fontId="39" fillId="7" borderId="0" xfId="2" applyNumberFormat="1" applyFont="1" applyFill="1" applyBorder="1" applyAlignment="1">
      <alignment horizontal="center"/>
    </xf>
    <xf numFmtId="0" fontId="40" fillId="7" borderId="0" xfId="2" applyNumberFormat="1" applyFont="1" applyFill="1" applyBorder="1" applyAlignment="1">
      <alignment horizontal="center"/>
    </xf>
    <xf numFmtId="0" fontId="37" fillId="7" borderId="0" xfId="2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2" fontId="39" fillId="7" borderId="0" xfId="2" applyNumberFormat="1" applyFont="1" applyFill="1" applyBorder="1" applyAlignment="1">
      <alignment horizontal="center"/>
    </xf>
    <xf numFmtId="2" fontId="38" fillId="0" borderId="0" xfId="2" applyNumberFormat="1" applyFont="1" applyFill="1" applyBorder="1" applyAlignment="1">
      <alignment horizontal="center"/>
    </xf>
    <xf numFmtId="0" fontId="39" fillId="0" borderId="0" xfId="2" applyNumberFormat="1" applyFont="1" applyFill="1" applyBorder="1" applyAlignment="1">
      <alignment horizontal="center"/>
    </xf>
    <xf numFmtId="0" fontId="38" fillId="0" borderId="0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4" borderId="15" xfId="2" applyNumberFormat="1" applyFont="1" applyFill="1" applyBorder="1" applyAlignment="1">
      <alignment horizontal="center"/>
    </xf>
    <xf numFmtId="2" fontId="36" fillId="3" borderId="0" xfId="0" applyNumberFormat="1" applyFont="1" applyFill="1" applyAlignment="1">
      <alignment horizontal="center"/>
    </xf>
    <xf numFmtId="2" fontId="6" fillId="4" borderId="15" xfId="2" applyNumberFormat="1" applyFont="1" applyFill="1" applyBorder="1" applyAlignment="1">
      <alignment horizontal="center"/>
    </xf>
    <xf numFmtId="2" fontId="46" fillId="4" borderId="15" xfId="2" applyNumberFormat="1" applyFont="1" applyFill="1" applyBorder="1" applyAlignment="1">
      <alignment horizontal="center"/>
    </xf>
    <xf numFmtId="10" fontId="47" fillId="4" borderId="120" xfId="2" applyNumberFormat="1" applyFont="1" applyFill="1" applyBorder="1" applyAlignment="1">
      <alignment horizontal="center"/>
    </xf>
    <xf numFmtId="10" fontId="38" fillId="4" borderId="120" xfId="2" applyNumberFormat="1" applyFont="1" applyFill="1" applyBorder="1" applyAlignment="1">
      <alignment horizontal="center"/>
    </xf>
    <xf numFmtId="10" fontId="39" fillId="4" borderId="120" xfId="2" applyNumberFormat="1" applyFont="1" applyFill="1" applyBorder="1" applyAlignment="1">
      <alignment horizontal="center"/>
    </xf>
    <xf numFmtId="10" fontId="38" fillId="4" borderId="48" xfId="2" applyNumberFormat="1" applyFont="1" applyFill="1" applyBorder="1" applyAlignment="1">
      <alignment horizontal="center"/>
    </xf>
    <xf numFmtId="10" fontId="36" fillId="0" borderId="68" xfId="2" applyNumberFormat="1" applyFont="1" applyFill="1" applyBorder="1" applyAlignment="1">
      <alignment horizontal="center"/>
    </xf>
    <xf numFmtId="10" fontId="36" fillId="0" borderId="121" xfId="2" applyNumberFormat="1" applyFont="1" applyFill="1" applyBorder="1" applyAlignment="1">
      <alignment horizontal="center"/>
    </xf>
    <xf numFmtId="10" fontId="36" fillId="0" borderId="64" xfId="2" applyNumberFormat="1" applyFont="1" applyFill="1" applyBorder="1" applyAlignment="1">
      <alignment horizontal="center"/>
    </xf>
    <xf numFmtId="10" fontId="3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left"/>
    </xf>
    <xf numFmtId="10" fontId="6" fillId="3" borderId="0" xfId="0" applyNumberFormat="1" applyFont="1" applyFill="1" applyAlignment="1">
      <alignment horizontal="center"/>
    </xf>
    <xf numFmtId="10" fontId="36" fillId="0" borderId="66" xfId="2" applyNumberFormat="1" applyFont="1" applyFill="1" applyBorder="1" applyAlignment="1">
      <alignment horizontal="center"/>
    </xf>
    <xf numFmtId="10" fontId="36" fillId="0" borderId="122" xfId="2" applyNumberFormat="1" applyFont="1" applyFill="1" applyBorder="1" applyAlignment="1">
      <alignment horizontal="center"/>
    </xf>
    <xf numFmtId="10" fontId="43" fillId="0" borderId="122" xfId="2" applyNumberFormat="1" applyFont="1" applyFill="1" applyBorder="1" applyAlignment="1">
      <alignment horizontal="center"/>
    </xf>
    <xf numFmtId="10" fontId="36" fillId="0" borderId="123" xfId="2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10" fontId="48" fillId="4" borderId="91" xfId="2" applyNumberFormat="1" applyFont="1" applyFill="1" applyBorder="1" applyAlignment="1">
      <alignment horizontal="center"/>
    </xf>
    <xf numFmtId="10" fontId="39" fillId="4" borderId="48" xfId="2" applyNumberFormat="1" applyFont="1" applyFill="1" applyBorder="1" applyAlignment="1">
      <alignment horizontal="center"/>
    </xf>
    <xf numFmtId="10" fontId="43" fillId="0" borderId="123" xfId="2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10" fontId="42" fillId="4" borderId="120" xfId="2" applyNumberFormat="1" applyFont="1" applyFill="1" applyBorder="1" applyAlignment="1">
      <alignment horizontal="center"/>
    </xf>
    <xf numFmtId="10" fontId="42" fillId="4" borderId="82" xfId="2" applyNumberFormat="1" applyFont="1" applyFill="1" applyBorder="1" applyAlignment="1">
      <alignment horizontal="center"/>
    </xf>
    <xf numFmtId="10" fontId="50" fillId="4" borderId="91" xfId="2" applyNumberFormat="1" applyFont="1" applyFill="1" applyBorder="1" applyAlignment="1">
      <alignment horizontal="center"/>
    </xf>
    <xf numFmtId="10" fontId="38" fillId="4" borderId="82" xfId="2" applyNumberFormat="1" applyFont="1" applyFill="1" applyBorder="1" applyAlignment="1">
      <alignment horizontal="center"/>
    </xf>
    <xf numFmtId="0" fontId="9" fillId="2" borderId="36" xfId="0" applyFont="1" applyFill="1" applyBorder="1"/>
    <xf numFmtId="0" fontId="17" fillId="2" borderId="16" xfId="0" applyFont="1" applyFill="1" applyBorder="1"/>
    <xf numFmtId="0" fontId="17" fillId="0" borderId="77" xfId="0" applyFont="1" applyFill="1" applyBorder="1"/>
    <xf numFmtId="10" fontId="14" fillId="0" borderId="35" xfId="2" applyNumberFormat="1" applyFont="1" applyFill="1" applyBorder="1" applyAlignment="1">
      <alignment horizontal="center"/>
    </xf>
    <xf numFmtId="3" fontId="18" fillId="0" borderId="2" xfId="1" applyNumberFormat="1" applyFont="1" applyFill="1" applyBorder="1" applyAlignment="1">
      <alignment horizontal="right"/>
    </xf>
    <xf numFmtId="10" fontId="14" fillId="0" borderId="8" xfId="2" applyNumberFormat="1" applyFont="1" applyFill="1" applyBorder="1" applyAlignment="1">
      <alignment horizontal="center"/>
    </xf>
    <xf numFmtId="0" fontId="16" fillId="2" borderId="46" xfId="0" applyFont="1" applyFill="1" applyBorder="1"/>
    <xf numFmtId="0" fontId="9" fillId="2" borderId="13" xfId="0" applyFont="1" applyFill="1" applyBorder="1" applyAlignment="1">
      <alignment horizontal="left" vertical="center"/>
    </xf>
    <xf numFmtId="0" fontId="15" fillId="0" borderId="44" xfId="0" applyFont="1" applyFill="1" applyBorder="1"/>
    <xf numFmtId="0" fontId="7" fillId="0" borderId="31" xfId="0" applyFont="1" applyFill="1" applyBorder="1"/>
    <xf numFmtId="165" fontId="7" fillId="0" borderId="2" xfId="2" applyNumberFormat="1" applyFont="1" applyFill="1" applyBorder="1" applyAlignment="1">
      <alignment horizontal="left"/>
    </xf>
    <xf numFmtId="164" fontId="14" fillId="0" borderId="0" xfId="1" applyNumberFormat="1" applyFont="1" applyFill="1" applyBorder="1" applyAlignment="1"/>
    <xf numFmtId="164" fontId="14" fillId="0" borderId="0" xfId="1" applyNumberFormat="1" applyFont="1" applyFill="1" applyBorder="1"/>
    <xf numFmtId="0" fontId="9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9" fontId="7" fillId="0" borderId="5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9" fontId="7" fillId="0" borderId="46" xfId="0" applyNumberFormat="1" applyFont="1" applyFill="1" applyBorder="1" applyAlignment="1">
      <alignment horizontal="center" vertical="center"/>
    </xf>
    <xf numFmtId="10" fontId="14" fillId="8" borderId="98" xfId="2" applyNumberFormat="1" applyFont="1" applyFill="1" applyBorder="1" applyAlignment="1">
      <alignment horizontal="center"/>
    </xf>
    <xf numFmtId="10" fontId="14" fillId="8" borderId="103" xfId="2" applyNumberFormat="1" applyFont="1" applyFill="1" applyBorder="1" applyAlignment="1">
      <alignment horizontal="center"/>
    </xf>
    <xf numFmtId="10" fontId="14" fillId="8" borderId="94" xfId="2" applyNumberFormat="1" applyFont="1" applyFill="1" applyBorder="1" applyAlignment="1">
      <alignment horizontal="center"/>
    </xf>
    <xf numFmtId="164" fontId="15" fillId="9" borderId="38" xfId="1" applyNumberFormat="1" applyFont="1" applyFill="1" applyBorder="1" applyAlignment="1"/>
    <xf numFmtId="10" fontId="14" fillId="9" borderId="86" xfId="2" applyNumberFormat="1" applyFont="1" applyFill="1" applyBorder="1" applyAlignment="1">
      <alignment horizontal="center"/>
    </xf>
    <xf numFmtId="3" fontId="18" fillId="9" borderId="69" xfId="1" applyNumberFormat="1" applyFont="1" applyFill="1" applyBorder="1" applyAlignment="1">
      <alignment horizontal="right"/>
    </xf>
    <xf numFmtId="164" fontId="15" fillId="9" borderId="20" xfId="1" applyNumberFormat="1" applyFont="1" applyFill="1" applyBorder="1"/>
    <xf numFmtId="164" fontId="15" fillId="9" borderId="43" xfId="1" applyNumberFormat="1" applyFont="1" applyFill="1" applyBorder="1"/>
    <xf numFmtId="10" fontId="14" fillId="9" borderId="25" xfId="2" applyNumberFormat="1" applyFont="1" applyFill="1" applyBorder="1" applyAlignment="1">
      <alignment horizontal="center"/>
    </xf>
    <xf numFmtId="10" fontId="14" fillId="9" borderId="34" xfId="2" applyNumberFormat="1" applyFont="1" applyFill="1" applyBorder="1" applyAlignment="1">
      <alignment horizontal="center"/>
    </xf>
    <xf numFmtId="3" fontId="24" fillId="9" borderId="30" xfId="0" applyNumberFormat="1" applyFont="1" applyFill="1" applyBorder="1" applyAlignment="1">
      <alignment horizontal="right"/>
    </xf>
    <xf numFmtId="3" fontId="18" fillId="9" borderId="30" xfId="1" applyNumberFormat="1" applyFont="1" applyFill="1" applyBorder="1" applyAlignment="1">
      <alignment horizontal="right"/>
    </xf>
    <xf numFmtId="10" fontId="14" fillId="8" borderId="80" xfId="2" applyNumberFormat="1" applyFont="1" applyFill="1" applyBorder="1" applyAlignment="1">
      <alignment horizontal="center"/>
    </xf>
    <xf numFmtId="3" fontId="18" fillId="9" borderId="57" xfId="1" applyNumberFormat="1" applyFont="1" applyFill="1" applyBorder="1" applyAlignment="1">
      <alignment horizontal="right"/>
    </xf>
    <xf numFmtId="10" fontId="14" fillId="9" borderId="79" xfId="2" applyNumberFormat="1" applyFont="1" applyFill="1" applyBorder="1" applyAlignment="1">
      <alignment horizontal="center"/>
    </xf>
    <xf numFmtId="164" fontId="15" fillId="9" borderId="52" xfId="1" applyNumberFormat="1" applyFont="1" applyFill="1" applyBorder="1"/>
    <xf numFmtId="164" fontId="15" fillId="9" borderId="21" xfId="1" applyNumberFormat="1" applyFont="1" applyFill="1" applyBorder="1"/>
    <xf numFmtId="10" fontId="14" fillId="9" borderId="63" xfId="2" applyNumberFormat="1" applyFont="1" applyFill="1" applyBorder="1" applyAlignment="1">
      <alignment horizontal="center"/>
    </xf>
    <xf numFmtId="10" fontId="14" fillId="9" borderId="0" xfId="2" applyNumberFormat="1" applyFont="1" applyFill="1" applyBorder="1" applyAlignment="1">
      <alignment horizontal="center"/>
    </xf>
    <xf numFmtId="3" fontId="18" fillId="9" borderId="0" xfId="1" applyNumberFormat="1" applyFont="1" applyFill="1" applyBorder="1" applyAlignment="1">
      <alignment horizontal="right"/>
    </xf>
    <xf numFmtId="3" fontId="18" fillId="9" borderId="18" xfId="1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164" fontId="15" fillId="9" borderId="90" xfId="1" applyNumberFormat="1" applyFont="1" applyFill="1" applyBorder="1"/>
    <xf numFmtId="10" fontId="14" fillId="9" borderId="41" xfId="2" applyNumberFormat="1" applyFont="1" applyFill="1" applyBorder="1" applyAlignment="1">
      <alignment horizontal="center"/>
    </xf>
    <xf numFmtId="10" fontId="14" fillId="9" borderId="49" xfId="2" applyNumberFormat="1" applyFont="1" applyFill="1" applyBorder="1" applyAlignment="1">
      <alignment horizontal="center"/>
    </xf>
    <xf numFmtId="3" fontId="18" fillId="9" borderId="63" xfId="1" applyNumberFormat="1" applyFont="1" applyFill="1" applyBorder="1" applyAlignment="1">
      <alignment horizontal="right"/>
    </xf>
    <xf numFmtId="3" fontId="18" fillId="9" borderId="73" xfId="1" applyNumberFormat="1" applyFont="1" applyFill="1" applyBorder="1" applyAlignment="1">
      <alignment horizontal="right"/>
    </xf>
    <xf numFmtId="0" fontId="7" fillId="0" borderId="37" xfId="0" applyFont="1" applyFill="1" applyBorder="1" applyAlignment="1"/>
    <xf numFmtId="10" fontId="14" fillId="0" borderId="124" xfId="2" applyNumberFormat="1" applyFont="1" applyFill="1" applyBorder="1" applyAlignment="1">
      <alignment horizontal="center"/>
    </xf>
    <xf numFmtId="10" fontId="14" fillId="9" borderId="36" xfId="2" applyNumberFormat="1" applyFont="1" applyFill="1" applyBorder="1" applyAlignment="1">
      <alignment horizontal="center"/>
    </xf>
    <xf numFmtId="10" fontId="26" fillId="0" borderId="95" xfId="2" applyNumberFormat="1" applyFont="1" applyFill="1" applyBorder="1" applyAlignment="1">
      <alignment horizontal="center"/>
    </xf>
    <xf numFmtId="165" fontId="14" fillId="0" borderId="66" xfId="2" applyNumberFormat="1" applyFont="1" applyFill="1" applyBorder="1" applyAlignment="1">
      <alignment horizontal="center"/>
    </xf>
    <xf numFmtId="166" fontId="19" fillId="0" borderId="36" xfId="0" applyNumberFormat="1" applyFont="1" applyFill="1" applyBorder="1" applyAlignment="1">
      <alignment horizontal="right"/>
    </xf>
    <xf numFmtId="10" fontId="14" fillId="9" borderId="104" xfId="2" applyNumberFormat="1" applyFont="1" applyFill="1" applyBorder="1" applyAlignment="1">
      <alignment horizontal="center"/>
    </xf>
    <xf numFmtId="168" fontId="18" fillId="9" borderId="82" xfId="1" applyNumberFormat="1" applyFont="1" applyFill="1" applyBorder="1" applyAlignment="1">
      <alignment horizontal="left"/>
    </xf>
    <xf numFmtId="10" fontId="14" fillId="9" borderId="27" xfId="2" applyNumberFormat="1" applyFont="1" applyFill="1" applyBorder="1" applyAlignment="1">
      <alignment horizontal="center"/>
    </xf>
    <xf numFmtId="168" fontId="14" fillId="9" borderId="96" xfId="1" applyNumberFormat="1" applyFont="1" applyFill="1" applyBorder="1" applyAlignment="1">
      <alignment horizontal="left"/>
    </xf>
    <xf numFmtId="164" fontId="15" fillId="9" borderId="38" xfId="1" applyNumberFormat="1" applyFont="1" applyFill="1" applyBorder="1"/>
    <xf numFmtId="164" fontId="15" fillId="9" borderId="31" xfId="1" applyNumberFormat="1" applyFont="1" applyFill="1" applyBorder="1"/>
    <xf numFmtId="10" fontId="14" fillId="9" borderId="13" xfId="2" applyNumberFormat="1" applyFont="1" applyFill="1" applyBorder="1" applyAlignment="1">
      <alignment horizontal="center"/>
    </xf>
    <xf numFmtId="10" fontId="14" fillId="9" borderId="23" xfId="2" applyNumberFormat="1" applyFont="1" applyFill="1" applyBorder="1" applyAlignment="1">
      <alignment horizontal="center"/>
    </xf>
    <xf numFmtId="164" fontId="15" fillId="9" borderId="5" xfId="1" applyNumberFormat="1" applyFont="1" applyFill="1" applyBorder="1"/>
    <xf numFmtId="10" fontId="14" fillId="9" borderId="56" xfId="2" applyNumberFormat="1" applyFont="1" applyFill="1" applyBorder="1" applyAlignment="1">
      <alignment horizontal="center"/>
    </xf>
    <xf numFmtId="164" fontId="15" fillId="9" borderId="74" xfId="1" applyNumberFormat="1" applyFont="1" applyFill="1" applyBorder="1"/>
    <xf numFmtId="3" fontId="18" fillId="9" borderId="22" xfId="1" applyNumberFormat="1" applyFont="1" applyFill="1" applyBorder="1" applyAlignment="1">
      <alignment horizontal="right"/>
    </xf>
    <xf numFmtId="3" fontId="18" fillId="9" borderId="64" xfId="1" applyNumberFormat="1" applyFont="1" applyFill="1" applyBorder="1" applyAlignment="1">
      <alignment horizontal="right"/>
    </xf>
    <xf numFmtId="164" fontId="15" fillId="9" borderId="32" xfId="1" applyNumberFormat="1" applyFont="1" applyFill="1" applyBorder="1"/>
    <xf numFmtId="3" fontId="18" fillId="9" borderId="41" xfId="1" applyNumberFormat="1" applyFont="1" applyFill="1" applyBorder="1" applyAlignment="1">
      <alignment horizontal="right"/>
    </xf>
    <xf numFmtId="3" fontId="18" fillId="9" borderId="44" xfId="1" applyNumberFormat="1" applyFont="1" applyFill="1" applyBorder="1" applyAlignment="1">
      <alignment horizontal="right"/>
    </xf>
    <xf numFmtId="164" fontId="15" fillId="9" borderId="21" xfId="1" applyNumberFormat="1" applyFont="1" applyFill="1" applyBorder="1" applyAlignment="1"/>
    <xf numFmtId="3" fontId="18" fillId="9" borderId="61" xfId="1" applyNumberFormat="1" applyFont="1" applyFill="1" applyBorder="1" applyAlignment="1">
      <alignment horizontal="right"/>
    </xf>
    <xf numFmtId="3" fontId="18" fillId="9" borderId="48" xfId="1" applyNumberFormat="1" applyFont="1" applyFill="1" applyBorder="1" applyAlignment="1">
      <alignment horizontal="right"/>
    </xf>
    <xf numFmtId="3" fontId="18" fillId="9" borderId="36" xfId="1" applyNumberFormat="1" applyFont="1" applyFill="1" applyBorder="1" applyAlignment="1">
      <alignment horizontal="right"/>
    </xf>
    <xf numFmtId="164" fontId="15" fillId="9" borderId="78" xfId="1" applyNumberFormat="1" applyFont="1" applyFill="1" applyBorder="1"/>
    <xf numFmtId="10" fontId="14" fillId="9" borderId="34" xfId="2" applyNumberFormat="1" applyFont="1" applyFill="1" applyBorder="1" applyAlignment="1" applyProtection="1">
      <alignment horizontal="center"/>
      <protection locked="0"/>
    </xf>
    <xf numFmtId="10" fontId="14" fillId="9" borderId="13" xfId="2" applyNumberFormat="1" applyFont="1" applyFill="1" applyBorder="1" applyAlignment="1" applyProtection="1">
      <alignment horizontal="center"/>
      <protection locked="0"/>
    </xf>
    <xf numFmtId="3" fontId="18" fillId="9" borderId="13" xfId="1" applyNumberFormat="1" applyFont="1" applyFill="1" applyBorder="1" applyAlignment="1">
      <alignment horizontal="right"/>
    </xf>
    <xf numFmtId="3" fontId="24" fillId="9" borderId="0" xfId="0" applyNumberFormat="1" applyFont="1" applyFill="1" applyAlignment="1">
      <alignment horizontal="right"/>
    </xf>
    <xf numFmtId="164" fontId="15" fillId="9" borderId="43" xfId="1" applyNumberFormat="1" applyFont="1" applyFill="1" applyBorder="1" applyAlignment="1"/>
    <xf numFmtId="0" fontId="7" fillId="0" borderId="10" xfId="0" applyFont="1" applyFill="1" applyBorder="1" applyAlignment="1">
      <alignment horizontal="center" vertical="center"/>
    </xf>
    <xf numFmtId="9" fontId="7" fillId="0" borderId="5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9" fontId="7" fillId="0" borderId="46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right"/>
    </xf>
    <xf numFmtId="10" fontId="14" fillId="9" borderId="100" xfId="2" applyNumberFormat="1" applyFont="1" applyFill="1" applyBorder="1" applyAlignment="1">
      <alignment horizontal="center"/>
    </xf>
    <xf numFmtId="164" fontId="15" fillId="9" borderId="37" xfId="1" applyNumberFormat="1" applyFont="1" applyFill="1" applyBorder="1"/>
    <xf numFmtId="164" fontId="15" fillId="9" borderId="19" xfId="1" applyNumberFormat="1" applyFont="1" applyFill="1" applyBorder="1"/>
    <xf numFmtId="4" fontId="51" fillId="0" borderId="0" xfId="0" applyNumberFormat="1" applyFont="1"/>
    <xf numFmtId="3" fontId="18" fillId="9" borderId="79" xfId="1" applyNumberFormat="1" applyFont="1" applyFill="1" applyBorder="1" applyAlignment="1">
      <alignment horizontal="right"/>
    </xf>
    <xf numFmtId="4" fontId="52" fillId="0" borderId="0" xfId="0" applyNumberFormat="1" applyFont="1"/>
    <xf numFmtId="0" fontId="7" fillId="0" borderId="10" xfId="0" applyFont="1" applyFill="1" applyBorder="1" applyAlignment="1">
      <alignment horizontal="center" vertical="center"/>
    </xf>
    <xf numFmtId="9" fontId="7" fillId="0" borderId="5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9" fontId="7" fillId="0" borderId="46" xfId="0" applyNumberFormat="1" applyFont="1" applyFill="1" applyBorder="1" applyAlignment="1">
      <alignment horizontal="center" vertical="center"/>
    </xf>
    <xf numFmtId="4" fontId="51" fillId="0" borderId="0" xfId="0" applyNumberFormat="1" applyFont="1" applyFill="1"/>
    <xf numFmtId="4" fontId="52" fillId="0" borderId="0" xfId="0" applyNumberFormat="1" applyFont="1" applyFill="1"/>
    <xf numFmtId="164" fontId="15" fillId="9" borderId="29" xfId="1" applyNumberFormat="1" applyFont="1" applyFill="1" applyBorder="1"/>
    <xf numFmtId="10" fontId="14" fillId="8" borderId="91" xfId="2" applyNumberFormat="1" applyFont="1" applyFill="1" applyBorder="1" applyAlignment="1">
      <alignment horizontal="center"/>
    </xf>
    <xf numFmtId="14" fontId="9" fillId="0" borderId="3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9" fontId="7" fillId="0" borderId="5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9" fontId="7" fillId="0" borderId="46" xfId="0" applyNumberFormat="1" applyFont="1" applyFill="1" applyBorder="1" applyAlignment="1">
      <alignment horizontal="center" vertical="center"/>
    </xf>
    <xf numFmtId="0" fontId="15" fillId="0" borderId="61" xfId="0" applyFont="1" applyFill="1" applyBorder="1"/>
    <xf numFmtId="0" fontId="11" fillId="0" borderId="52" xfId="0" applyFont="1" applyFill="1" applyBorder="1" applyAlignment="1">
      <alignment horizontal="center"/>
    </xf>
    <xf numFmtId="10" fontId="14" fillId="0" borderId="125" xfId="2" applyNumberFormat="1" applyFont="1" applyFill="1" applyBorder="1" applyAlignment="1">
      <alignment horizontal="center"/>
    </xf>
    <xf numFmtId="0" fontId="36" fillId="0" borderId="36" xfId="0" applyFont="1" applyFill="1" applyBorder="1"/>
    <xf numFmtId="3" fontId="18" fillId="9" borderId="125" xfId="1" applyNumberFormat="1" applyFont="1" applyFill="1" applyBorder="1" applyAlignment="1">
      <alignment horizontal="right"/>
    </xf>
    <xf numFmtId="10" fontId="14" fillId="9" borderId="112" xfId="2" applyNumberFormat="1" applyFont="1" applyFill="1" applyBorder="1" applyAlignment="1">
      <alignment horizontal="center"/>
    </xf>
    <xf numFmtId="167" fontId="7" fillId="9" borderId="40" xfId="2" applyNumberFormat="1" applyFont="1" applyFill="1" applyBorder="1" applyAlignment="1"/>
    <xf numFmtId="10" fontId="29" fillId="0" borderId="0" xfId="2" applyNumberFormat="1" applyFont="1" applyFill="1"/>
    <xf numFmtId="10" fontId="2" fillId="2" borderId="0" xfId="0" applyNumberFormat="1" applyFont="1" applyFill="1"/>
    <xf numFmtId="0" fontId="2" fillId="2" borderId="0" xfId="0" applyFont="1" applyFill="1"/>
    <xf numFmtId="9" fontId="7" fillId="0" borderId="5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9" fontId="7" fillId="0" borderId="46" xfId="0" applyNumberFormat="1" applyFont="1" applyFill="1" applyBorder="1" applyAlignment="1">
      <alignment horizontal="center" vertical="center"/>
    </xf>
    <xf numFmtId="167" fontId="7" fillId="0" borderId="40" xfId="2" applyNumberFormat="1" applyFont="1" applyFill="1" applyBorder="1" applyAlignment="1"/>
    <xf numFmtId="10" fontId="14" fillId="0" borderId="123" xfId="2" applyNumberFormat="1" applyFont="1" applyFill="1" applyBorder="1" applyAlignment="1">
      <alignment horizontal="center"/>
    </xf>
    <xf numFmtId="0" fontId="17" fillId="0" borderId="126" xfId="0" applyFont="1" applyFill="1" applyBorder="1"/>
    <xf numFmtId="0" fontId="0" fillId="0" borderId="127" xfId="0" applyFill="1" applyBorder="1"/>
    <xf numFmtId="0" fontId="0" fillId="0" borderId="123" xfId="0" applyFill="1" applyBorder="1"/>
    <xf numFmtId="0" fontId="0" fillId="0" borderId="105" xfId="0" applyFill="1" applyBorder="1"/>
    <xf numFmtId="3" fontId="18" fillId="9" borderId="123" xfId="1" applyNumberFormat="1" applyFont="1" applyFill="1" applyBorder="1" applyAlignment="1">
      <alignment horizontal="right"/>
    </xf>
    <xf numFmtId="9" fontId="7" fillId="0" borderId="5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9" fontId="7" fillId="0" borderId="46" xfId="0" applyNumberFormat="1" applyFont="1" applyFill="1" applyBorder="1" applyAlignment="1">
      <alignment horizontal="center" vertical="center"/>
    </xf>
    <xf numFmtId="0" fontId="7" fillId="0" borderId="69" xfId="0" applyFont="1" applyFill="1" applyBorder="1"/>
    <xf numFmtId="165" fontId="14" fillId="0" borderId="42" xfId="2" applyNumberFormat="1" applyFont="1" applyFill="1" applyBorder="1" applyAlignment="1"/>
    <xf numFmtId="165" fontId="14" fillId="0" borderId="72" xfId="2" applyNumberFormat="1" applyFont="1" applyFill="1" applyBorder="1" applyAlignment="1"/>
    <xf numFmtId="167" fontId="7" fillId="10" borderId="40" xfId="2" applyNumberFormat="1" applyFont="1" applyFill="1" applyBorder="1" applyAlignment="1"/>
    <xf numFmtId="9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7" fillId="0" borderId="8" xfId="2" applyNumberFormat="1" applyFont="1" applyFill="1" applyBorder="1" applyAlignment="1">
      <alignment horizontal="left"/>
    </xf>
    <xf numFmtId="0" fontId="15" fillId="0" borderId="128" xfId="0" applyFont="1" applyFill="1" applyBorder="1"/>
    <xf numFmtId="0" fontId="7" fillId="0" borderId="43" xfId="0" applyFont="1" applyFill="1" applyBorder="1"/>
    <xf numFmtId="0" fontId="17" fillId="0" borderId="129" xfId="0" applyFont="1" applyFill="1" applyBorder="1"/>
    <xf numFmtId="0" fontId="11" fillId="0" borderId="37" xfId="0" applyFont="1" applyFill="1" applyBorder="1" applyAlignment="1">
      <alignment horizontal="center"/>
    </xf>
    <xf numFmtId="10" fontId="14" fillId="0" borderId="48" xfId="2" applyNumberFormat="1" applyFont="1" applyFill="1" applyBorder="1" applyAlignment="1">
      <alignment horizontal="center"/>
    </xf>
    <xf numFmtId="10" fontId="20" fillId="0" borderId="113" xfId="2" applyNumberFormat="1" applyFont="1" applyFill="1" applyBorder="1" applyAlignment="1">
      <alignment horizontal="center"/>
    </xf>
    <xf numFmtId="0" fontId="36" fillId="5" borderId="13" xfId="0" applyFont="1" applyFill="1" applyBorder="1" applyAlignment="1">
      <alignment horizontal="center" vertical="center"/>
    </xf>
    <xf numFmtId="0" fontId="36" fillId="5" borderId="46" xfId="0" applyFont="1" applyFill="1" applyBorder="1" applyAlignment="1">
      <alignment horizontal="center" vertical="center"/>
    </xf>
    <xf numFmtId="0" fontId="36" fillId="5" borderId="47" xfId="0" applyFont="1" applyFill="1" applyBorder="1" applyAlignment="1">
      <alignment horizontal="center" vertical="center"/>
    </xf>
    <xf numFmtId="0" fontId="45" fillId="6" borderId="28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5" fillId="6" borderId="85" xfId="0" applyFont="1" applyFill="1" applyBorder="1" applyAlignment="1">
      <alignment horizontal="center"/>
    </xf>
    <xf numFmtId="9" fontId="7" fillId="0" borderId="5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165" fontId="7" fillId="0" borderId="37" xfId="2" applyNumberFormat="1" applyFont="1" applyFill="1" applyBorder="1" applyAlignment="1">
      <alignment horizontal="center" vertical="center"/>
    </xf>
    <xf numFmtId="165" fontId="7" fillId="0" borderId="10" xfId="2" applyNumberFormat="1" applyFont="1" applyFill="1" applyBorder="1" applyAlignment="1">
      <alignment horizontal="center" vertical="center"/>
    </xf>
    <xf numFmtId="9" fontId="7" fillId="0" borderId="37" xfId="0" applyNumberFormat="1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65" fontId="7" fillId="0" borderId="85" xfId="2" applyNumberFormat="1" applyFont="1" applyFill="1" applyBorder="1" applyAlignment="1">
      <alignment horizontal="center" vertical="center"/>
    </xf>
    <xf numFmtId="165" fontId="7" fillId="0" borderId="47" xfId="2" applyNumberFormat="1" applyFont="1" applyFill="1" applyBorder="1" applyAlignment="1">
      <alignment horizontal="center" vertical="center"/>
    </xf>
    <xf numFmtId="9" fontId="7" fillId="0" borderId="28" xfId="0" applyNumberFormat="1" applyFont="1" applyFill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/>
    </xf>
    <xf numFmtId="9" fontId="7" fillId="0" borderId="29" xfId="0" applyNumberFormat="1" applyFont="1" applyFill="1" applyBorder="1" applyAlignment="1">
      <alignment horizontal="center" vertical="center"/>
    </xf>
    <xf numFmtId="9" fontId="7" fillId="0" borderId="50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5" fontId="7" fillId="0" borderId="61" xfId="2" applyNumberFormat="1" applyFont="1" applyFill="1" applyBorder="1" applyAlignment="1">
      <alignment horizontal="center" vertical="center"/>
    </xf>
    <xf numFmtId="165" fontId="7" fillId="0" borderId="30" xfId="2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distributed"/>
    </xf>
    <xf numFmtId="0" fontId="7" fillId="0" borderId="37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center" vertical="distributed"/>
    </xf>
    <xf numFmtId="0" fontId="9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5" fontId="14" fillId="0" borderId="27" xfId="2" applyNumberFormat="1" applyFont="1" applyFill="1" applyBorder="1" applyAlignment="1">
      <alignment horizontal="center" vertical="center"/>
    </xf>
    <xf numFmtId="165" fontId="14" fillId="0" borderId="23" xfId="2" applyNumberFormat="1" applyFont="1" applyFill="1" applyBorder="1" applyAlignment="1">
      <alignment horizontal="center" vertical="center"/>
    </xf>
    <xf numFmtId="165" fontId="14" fillId="0" borderId="49" xfId="2" applyNumberFormat="1" applyFont="1" applyFill="1" applyBorder="1" applyAlignment="1">
      <alignment horizontal="center" vertical="center"/>
    </xf>
    <xf numFmtId="165" fontId="7" fillId="0" borderId="28" xfId="2" applyNumberFormat="1" applyFont="1" applyFill="1" applyBorder="1" applyAlignment="1">
      <alignment horizontal="center" vertical="center"/>
    </xf>
    <xf numFmtId="165" fontId="7" fillId="0" borderId="36" xfId="2" applyNumberFormat="1" applyFont="1" applyFill="1" applyBorder="1" applyAlignment="1">
      <alignment horizontal="center" vertical="center"/>
    </xf>
    <xf numFmtId="165" fontId="7" fillId="0" borderId="13" xfId="2" applyNumberFormat="1" applyFont="1" applyFill="1" applyBorder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9" fontId="7" fillId="0" borderId="17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9" fontId="7" fillId="0" borderId="53" xfId="0" applyNumberFormat="1" applyFont="1" applyFill="1" applyBorder="1" applyAlignment="1">
      <alignment horizontal="center" vertical="center"/>
    </xf>
    <xf numFmtId="9" fontId="7" fillId="0" borderId="38" xfId="0" applyNumberFormat="1" applyFont="1" applyFill="1" applyBorder="1" applyAlignment="1">
      <alignment horizontal="center" vertical="center"/>
    </xf>
    <xf numFmtId="9" fontId="7" fillId="0" borderId="78" xfId="0" applyNumberFormat="1" applyFont="1" applyFill="1" applyBorder="1" applyAlignment="1">
      <alignment horizontal="center" vertical="center"/>
    </xf>
    <xf numFmtId="164" fontId="0" fillId="0" borderId="27" xfId="1" applyNumberFormat="1" applyFont="1" applyFill="1" applyBorder="1" applyAlignment="1">
      <alignment horizontal="center"/>
    </xf>
    <xf numFmtId="164" fontId="0" fillId="0" borderId="112" xfId="1" applyNumberFormat="1" applyFont="1" applyFill="1" applyBorder="1" applyAlignment="1">
      <alignment horizontal="center"/>
    </xf>
    <xf numFmtId="10" fontId="7" fillId="0" borderId="85" xfId="0" applyNumberFormat="1" applyFont="1" applyFill="1" applyBorder="1" applyAlignment="1">
      <alignment horizontal="center"/>
    </xf>
    <xf numFmtId="10" fontId="7" fillId="0" borderId="24" xfId="0" applyNumberFormat="1" applyFont="1" applyFill="1" applyBorder="1" applyAlignment="1">
      <alignment horizontal="center"/>
    </xf>
    <xf numFmtId="9" fontId="0" fillId="0" borderId="5" xfId="2" applyFont="1" applyFill="1" applyBorder="1" applyAlignment="1">
      <alignment horizontal="center" vertical="center"/>
    </xf>
    <xf numFmtId="9" fontId="0" fillId="0" borderId="37" xfId="2" applyFont="1" applyFill="1" applyBorder="1" applyAlignment="1">
      <alignment horizontal="center" vertical="center"/>
    </xf>
    <xf numFmtId="9" fontId="0" fillId="0" borderId="10" xfId="2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65" fontId="7" fillId="0" borderId="9" xfId="2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/>
    </xf>
    <xf numFmtId="10" fontId="7" fillId="0" borderId="37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COMPOSIÇÃO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79,95%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20,05%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('FFIN2 Junho 2018'!$B$84,'FFIN2 Junho 2018'!$B$85)</c:f>
              <c:strCache>
                <c:ptCount val="2"/>
                <c:pt idx="0">
                  <c:v>Renda Fixa</c:v>
                </c:pt>
                <c:pt idx="1">
                  <c:v>Renda Variável</c:v>
                </c:pt>
              </c:strCache>
            </c:strRef>
          </c:cat>
          <c:val>
            <c:numRef>
              <c:f>('FFIN2 Junho 2018'!$H$84,'FFIN2 Junho 2018'!$H$85)</c:f>
              <c:numCache>
                <c:formatCode>0.00%</c:formatCode>
                <c:ptCount val="2"/>
                <c:pt idx="0">
                  <c:v>0.79945333792057605</c:v>
                </c:pt>
                <c:pt idx="1">
                  <c:v>0.20054157919159216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COMPOSIÇÃO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79,95%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20,05%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('FFIN2 Julho 2018'!$B$85,'FFIN2 Julho 2018'!$B$86)</c:f>
              <c:strCache>
                <c:ptCount val="2"/>
                <c:pt idx="0">
                  <c:v>Renda Fixa</c:v>
                </c:pt>
                <c:pt idx="1">
                  <c:v>Renda Variável</c:v>
                </c:pt>
              </c:strCache>
            </c:strRef>
          </c:cat>
          <c:val>
            <c:numRef>
              <c:f>('FFIN2 Julho 2018'!$H$85,'FFIN2 Julho 2018'!$H$86)</c:f>
              <c:numCache>
                <c:formatCode>0.00%</c:formatCode>
                <c:ptCount val="2"/>
                <c:pt idx="0">
                  <c:v>0.79617035267200775</c:v>
                </c:pt>
                <c:pt idx="1">
                  <c:v>0.20382364323061325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1047749</xdr:colOff>
      <xdr:row>88</xdr:row>
      <xdr:rowOff>123824</xdr:rowOff>
    </xdr:from>
    <xdr:to>
      <xdr:col>7</xdr:col>
      <xdr:colOff>257174</xdr:colOff>
      <xdr:row>101</xdr:row>
      <xdr:rowOff>138111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1047749</xdr:colOff>
      <xdr:row>89</xdr:row>
      <xdr:rowOff>123824</xdr:rowOff>
    </xdr:from>
    <xdr:to>
      <xdr:col>7</xdr:col>
      <xdr:colOff>257174</xdr:colOff>
      <xdr:row>102</xdr:row>
      <xdr:rowOff>138111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FINPrev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FINPrev%20%202017%20e%20Me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"/>
      <sheetName val="FFPREV Janeiro 2018"/>
      <sheetName val="FFPREV Fevereiro 2018"/>
      <sheetName val="FFPREV Março 2018"/>
      <sheetName val="FFPREV Abril 2018"/>
      <sheetName val="FFPREV Maio 2018"/>
      <sheetName val="FFPREV Junho 2018"/>
      <sheetName val="FFPREV Julho 2018"/>
    </sheetNames>
    <sheetDataSet>
      <sheetData sheetId="0"/>
      <sheetData sheetId="1">
        <row r="46">
          <cell r="G46">
            <v>234020168.92000002</v>
          </cell>
        </row>
      </sheetData>
      <sheetData sheetId="2">
        <row r="47">
          <cell r="G47">
            <v>240168044.28999999</v>
          </cell>
        </row>
      </sheetData>
      <sheetData sheetId="3">
        <row r="47">
          <cell r="G47">
            <v>247975159.66</v>
          </cell>
        </row>
      </sheetData>
      <sheetData sheetId="4">
        <row r="48">
          <cell r="G48">
            <v>253585360.12999997</v>
          </cell>
        </row>
      </sheetData>
      <sheetData sheetId="5">
        <row r="50">
          <cell r="G50">
            <v>252557926.67000005</v>
          </cell>
        </row>
      </sheetData>
      <sheetData sheetId="6">
        <row r="51">
          <cell r="G51">
            <v>257594550.72</v>
          </cell>
        </row>
      </sheetData>
      <sheetData sheetId="7">
        <row r="52">
          <cell r="G52">
            <v>267517033.79999998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"/>
      <sheetName val="FFINPrev Janeiro 2017"/>
      <sheetName val="FFINPrev Fevereiro 2017"/>
      <sheetName val="FFINPrev Março 2017"/>
      <sheetName val="FFINPrev Abril 2017"/>
      <sheetName val="FFINPrev Maio 2017"/>
      <sheetName val="FFINPrev Junho 2017"/>
      <sheetName val="FFINPrev Julho 2017"/>
      <sheetName val="FFINPrev Agosto 2017"/>
      <sheetName val="FFINPrev Setembro 2017"/>
      <sheetName val="FFINPrev Outubro 2017"/>
      <sheetName val="FFINPrev Novembro 2017"/>
      <sheetName val="FFINPrev Dezembro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G57">
            <v>188735208.34999999</v>
          </cell>
        </row>
        <row r="58">
          <cell r="G58">
            <v>16278717.050000001</v>
          </cell>
        </row>
        <row r="59">
          <cell r="G59">
            <v>2030</v>
          </cell>
        </row>
      </sheetData>
      <sheetData sheetId="10"/>
      <sheetData sheetId="11"/>
      <sheetData sheetId="12">
        <row r="5">
          <cell r="G5">
            <v>12772420.35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Consolidado Janeiro 2018"/>
      <sheetName val="Consolidado fevereiro 2018"/>
      <sheetName val="Consolidado Março 2018"/>
      <sheetName val="Consolidado Abril 2018"/>
      <sheetName val="Consolidado Maio 2018"/>
      <sheetName val="Consolidado Junho 2018"/>
      <sheetName val="Consolidado Julho 2018"/>
    </sheetNames>
    <sheetDataSet>
      <sheetData sheetId="0" refreshError="1"/>
      <sheetData sheetId="1">
        <row r="96">
          <cell r="G96">
            <v>997022105.08999991</v>
          </cell>
        </row>
      </sheetData>
      <sheetData sheetId="2">
        <row r="98">
          <cell r="G98">
            <v>1024121203.25</v>
          </cell>
        </row>
        <row r="105">
          <cell r="G105">
            <v>184803995.55999997</v>
          </cell>
        </row>
        <row r="106">
          <cell r="M106">
            <v>659095.34000000008</v>
          </cell>
        </row>
        <row r="112">
          <cell r="G112">
            <v>838658112.35000002</v>
          </cell>
        </row>
      </sheetData>
      <sheetData sheetId="3">
        <row r="97">
          <cell r="G97">
            <v>1029990695.5500001</v>
          </cell>
        </row>
      </sheetData>
      <sheetData sheetId="4">
        <row r="99">
          <cell r="G99">
            <v>1039971380.28</v>
          </cell>
        </row>
      </sheetData>
      <sheetData sheetId="5">
        <row r="100">
          <cell r="G100">
            <v>1019229029.8900001</v>
          </cell>
        </row>
      </sheetData>
      <sheetData sheetId="6">
        <row r="102">
          <cell r="G102">
            <v>1023887282.1300001</v>
          </cell>
        </row>
      </sheetData>
      <sheetData sheetId="7">
        <row r="104">
          <cell r="G104">
            <v>1051861407.77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topLeftCell="A162" workbookViewId="0">
      <selection activeCell="H176" sqref="H176"/>
    </sheetView>
  </sheetViews>
  <sheetFormatPr defaultColWidth="9.140625" defaultRowHeight="14.25" x14ac:dyDescent="0.2"/>
  <cols>
    <col min="1" max="1" width="34.5703125" style="440" customWidth="1"/>
    <col min="2" max="2" width="11" style="440" customWidth="1"/>
    <col min="3" max="11" width="8.7109375" style="440" customWidth="1"/>
    <col min="12" max="12" width="9.85546875" style="440" bestFit="1" customWidth="1"/>
    <col min="13" max="13" width="8.7109375" style="440" customWidth="1"/>
    <col min="14" max="14" width="13.85546875" style="440" customWidth="1"/>
    <col min="15" max="16384" width="9.140625" style="440"/>
  </cols>
  <sheetData>
    <row r="1" spans="1:16" ht="15" thickBot="1" x14ac:dyDescent="0.25"/>
    <row r="2" spans="1:16" ht="18" x14ac:dyDescent="0.25">
      <c r="A2" s="652" t="s">
        <v>231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4"/>
    </row>
    <row r="3" spans="1:16" ht="15" thickBot="1" x14ac:dyDescent="0.25">
      <c r="A3" s="649" t="s">
        <v>223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1"/>
    </row>
    <row r="4" spans="1:16" ht="16.5" thickBot="1" x14ac:dyDescent="0.25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</row>
    <row r="5" spans="1:16" ht="15.75" thickBot="1" x14ac:dyDescent="0.25">
      <c r="A5" s="456" t="s">
        <v>212</v>
      </c>
      <c r="B5" s="455">
        <v>40179</v>
      </c>
      <c r="C5" s="454">
        <v>40210</v>
      </c>
      <c r="D5" s="454">
        <v>40238</v>
      </c>
      <c r="E5" s="454">
        <v>40269</v>
      </c>
      <c r="F5" s="454">
        <v>40299</v>
      </c>
      <c r="G5" s="454">
        <v>40330</v>
      </c>
      <c r="H5" s="454">
        <v>40360</v>
      </c>
      <c r="I5" s="454">
        <v>40391</v>
      </c>
      <c r="J5" s="454">
        <v>40422</v>
      </c>
      <c r="K5" s="454">
        <v>40452</v>
      </c>
      <c r="L5" s="454">
        <v>40483</v>
      </c>
      <c r="M5" s="454">
        <v>40513</v>
      </c>
      <c r="N5" s="493" t="s">
        <v>211</v>
      </c>
    </row>
    <row r="6" spans="1:16" ht="15" x14ac:dyDescent="0.25">
      <c r="A6" s="451" t="s">
        <v>229</v>
      </c>
      <c r="B6" s="492">
        <v>1.2800000000000001E-2</v>
      </c>
      <c r="C6" s="490">
        <v>6.7000000000000002E-3</v>
      </c>
      <c r="D6" s="490">
        <v>1.78E-2</v>
      </c>
      <c r="E6" s="490">
        <v>2.58E-2</v>
      </c>
      <c r="F6" s="490">
        <v>2.0899999999999998E-2</v>
      </c>
      <c r="G6" s="490">
        <v>2.2000000000000001E-3</v>
      </c>
      <c r="H6" s="490">
        <v>1.4999999999999999E-2</v>
      </c>
      <c r="I6" s="490">
        <v>9.4999999999999998E-3</v>
      </c>
      <c r="J6" s="490">
        <v>1.89E-2</v>
      </c>
      <c r="K6" s="490">
        <v>6.3E-3</v>
      </c>
      <c r="L6" s="490">
        <v>2.0799999999999999E-2</v>
      </c>
      <c r="M6" s="490">
        <v>1.0699999999999999E-2</v>
      </c>
      <c r="N6" s="489">
        <f>(1+B6)*(1+C6)*(1+D6)*(1+E6)*(1+F6)*(1+G6)*(1+H6)*(1+I6)*(1+J6)*(1+K6)*(1+L6)*(1+M6)-1</f>
        <v>0.18054034123835372</v>
      </c>
      <c r="O6" s="488">
        <f>N6/N8</f>
        <v>1.811272985069994</v>
      </c>
      <c r="P6" s="487" t="s">
        <v>71</v>
      </c>
    </row>
    <row r="7" spans="1:16" ht="15" x14ac:dyDescent="0.25">
      <c r="A7" s="443" t="s">
        <v>208</v>
      </c>
      <c r="B7" s="485">
        <v>1.1299999999999999E-2</v>
      </c>
      <c r="C7" s="484">
        <v>8.0000000000000002E-3</v>
      </c>
      <c r="D7" s="484">
        <v>6.8999999999999999E-3</v>
      </c>
      <c r="E7" s="484">
        <v>1.04E-2</v>
      </c>
      <c r="F7" s="484">
        <v>1.09E-2</v>
      </c>
      <c r="G7" s="484">
        <v>9.1000000000000004E-3</v>
      </c>
      <c r="H7" s="484">
        <v>7.1999999999999998E-3</v>
      </c>
      <c r="I7" s="484">
        <v>5.7000000000000002E-3</v>
      </c>
      <c r="J7" s="484">
        <v>6.4999999999999997E-3</v>
      </c>
      <c r="K7" s="484">
        <v>7.3000000000000001E-3</v>
      </c>
      <c r="L7" s="484">
        <v>8.6E-3</v>
      </c>
      <c r="M7" s="484">
        <v>7.3000000000000001E-3</v>
      </c>
      <c r="N7" s="483">
        <f>(1+B7)*(1+C7)*(1+D7)*(1+E7)*(1+F7)*(1+G7)*(1+H7)*(1+I7)*(1+J7)*(1+K7)*(1+L7)*(1+M7)-1</f>
        <v>0.10381730564362135</v>
      </c>
      <c r="O7" s="486">
        <f>N6/N7</f>
        <v>1.739019714671687</v>
      </c>
    </row>
    <row r="8" spans="1:16" ht="15" x14ac:dyDescent="0.25">
      <c r="A8" s="443" t="s">
        <v>118</v>
      </c>
      <c r="B8" s="485">
        <v>1.04E-2</v>
      </c>
      <c r="C8" s="484">
        <v>8.5000000000000006E-3</v>
      </c>
      <c r="D8" s="484">
        <v>9.7000000000000003E-3</v>
      </c>
      <c r="E8" s="484">
        <v>8.3999999999999995E-3</v>
      </c>
      <c r="F8" s="484">
        <v>7.7000000000000002E-3</v>
      </c>
      <c r="G8" s="484">
        <v>7.4999999999999997E-3</v>
      </c>
      <c r="H8" s="484">
        <v>7.9000000000000008E-3</v>
      </c>
      <c r="I8" s="484">
        <v>7.7999999999999996E-3</v>
      </c>
      <c r="J8" s="484">
        <v>6.8999999999999999E-3</v>
      </c>
      <c r="K8" s="484">
        <v>6.8999999999999999E-3</v>
      </c>
      <c r="L8" s="484">
        <v>6.4999999999999997E-3</v>
      </c>
      <c r="M8" s="484">
        <v>7.1999999999999998E-3</v>
      </c>
      <c r="N8" s="483">
        <f>(1+B8)*(1+C8)*(1+D8)*(1+E8)*(1+F8)*(1+G8)*(1+H8)*(1+I8)*(1+J8)*(1+K8)*(1+L8)*(1+M8)-1</f>
        <v>9.9675942128280015E-2</v>
      </c>
    </row>
    <row r="9" spans="1:16" ht="18.75" thickBot="1" x14ac:dyDescent="0.3">
      <c r="A9" s="449" t="s">
        <v>209</v>
      </c>
      <c r="B9" s="502">
        <f t="shared" ref="B9:M9" si="0">B6-B7</f>
        <v>1.5000000000000013E-3</v>
      </c>
      <c r="C9" s="499">
        <f t="shared" si="0"/>
        <v>-1.2999999999999999E-3</v>
      </c>
      <c r="D9" s="480">
        <f t="shared" si="0"/>
        <v>1.09E-2</v>
      </c>
      <c r="E9" s="480">
        <f t="shared" si="0"/>
        <v>1.54E-2</v>
      </c>
      <c r="F9" s="480">
        <f t="shared" si="0"/>
        <v>9.9999999999999985E-3</v>
      </c>
      <c r="G9" s="481">
        <f t="shared" si="0"/>
        <v>-6.8999999999999999E-3</v>
      </c>
      <c r="H9" s="480">
        <f t="shared" si="0"/>
        <v>7.7999999999999996E-3</v>
      </c>
      <c r="I9" s="480">
        <f t="shared" si="0"/>
        <v>3.7999999999999996E-3</v>
      </c>
      <c r="J9" s="480">
        <f t="shared" si="0"/>
        <v>1.2400000000000001E-2</v>
      </c>
      <c r="K9" s="481">
        <f t="shared" si="0"/>
        <v>-1E-3</v>
      </c>
      <c r="L9" s="480">
        <f t="shared" si="0"/>
        <v>1.2199999999999999E-2</v>
      </c>
      <c r="M9" s="480">
        <f t="shared" si="0"/>
        <v>3.3999999999999994E-3</v>
      </c>
      <c r="N9" s="501">
        <f>(1+B9)*(1+C9)*(1+D9)*(1+E9)*(1+F9)*(1+G9)*(1+H9)*(1+I9)*(1+J9)*(1+K9)*(1+L9)*(1+M9)-1</f>
        <v>7.0102341973563131E-2</v>
      </c>
      <c r="O9" s="486"/>
    </row>
    <row r="12" spans="1:16" ht="15" thickBot="1" x14ac:dyDescent="0.25"/>
    <row r="13" spans="1:16" ht="18" x14ac:dyDescent="0.25">
      <c r="A13" s="652" t="s">
        <v>230</v>
      </c>
      <c r="B13" s="653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4"/>
    </row>
    <row r="14" spans="1:16" ht="15" thickBot="1" x14ac:dyDescent="0.25">
      <c r="A14" s="649" t="s">
        <v>223</v>
      </c>
      <c r="B14" s="650"/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1"/>
    </row>
    <row r="15" spans="1:16" ht="16.5" thickBot="1" x14ac:dyDescent="0.25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</row>
    <row r="16" spans="1:16" ht="15.75" thickBot="1" x14ac:dyDescent="0.25">
      <c r="A16" s="456" t="s">
        <v>212</v>
      </c>
      <c r="B16" s="455">
        <v>40179</v>
      </c>
      <c r="C16" s="454">
        <v>40210</v>
      </c>
      <c r="D16" s="454">
        <v>40238</v>
      </c>
      <c r="E16" s="454">
        <v>40269</v>
      </c>
      <c r="F16" s="454">
        <v>40299</v>
      </c>
      <c r="G16" s="454">
        <v>40330</v>
      </c>
      <c r="H16" s="454">
        <v>40360</v>
      </c>
      <c r="I16" s="454">
        <v>40391</v>
      </c>
      <c r="J16" s="454">
        <v>40422</v>
      </c>
      <c r="K16" s="454">
        <v>40452</v>
      </c>
      <c r="L16" s="454">
        <v>40483</v>
      </c>
      <c r="M16" s="454">
        <v>40513</v>
      </c>
      <c r="N16" s="493" t="s">
        <v>211</v>
      </c>
    </row>
    <row r="17" spans="1:16" ht="15" x14ac:dyDescent="0.25">
      <c r="A17" s="451" t="s">
        <v>229</v>
      </c>
      <c r="B17" s="492">
        <v>1.6999999999999999E-3</v>
      </c>
      <c r="C17" s="490">
        <v>1.0800000000000001E-2</v>
      </c>
      <c r="D17" s="490">
        <v>2.06E-2</v>
      </c>
      <c r="E17" s="491">
        <v>-1.6999999999999999E-3</v>
      </c>
      <c r="F17" s="491">
        <v>-8.6E-3</v>
      </c>
      <c r="G17" s="490">
        <v>5.5999999999999999E-3</v>
      </c>
      <c r="H17" s="490">
        <v>2.2499999999999999E-2</v>
      </c>
      <c r="I17" s="490">
        <v>1.17E-2</v>
      </c>
      <c r="J17" s="490">
        <v>1.52E-2</v>
      </c>
      <c r="K17" s="490">
        <v>1.5800000000000002E-2</v>
      </c>
      <c r="L17" s="490">
        <v>8.0000000000000004E-4</v>
      </c>
      <c r="M17" s="490">
        <v>1.9199999999999998E-2</v>
      </c>
      <c r="N17" s="489">
        <f>(1+B17)*(1+C17)*(1+D17)*(1+E17)*(1+F17)*(1+G17)*(1+H17)*(1+I17)*(1+J17)*(1+K17)*(1+L17)*(1+M17)-1</f>
        <v>0.11911654736519672</v>
      </c>
      <c r="O17" s="488">
        <f>N17/N19</f>
        <v>1.2229624986159828</v>
      </c>
      <c r="P17" s="487" t="s">
        <v>71</v>
      </c>
    </row>
    <row r="18" spans="1:16" ht="15" x14ac:dyDescent="0.25">
      <c r="A18" s="443" t="s">
        <v>208</v>
      </c>
      <c r="B18" s="485">
        <v>1.37E-2</v>
      </c>
      <c r="C18" s="484">
        <v>1.1900000000000001E-2</v>
      </c>
      <c r="D18" s="484">
        <v>1.2E-2</v>
      </c>
      <c r="E18" s="484">
        <v>1.2200000000000001E-2</v>
      </c>
      <c r="F18" s="484">
        <v>9.1000000000000004E-3</v>
      </c>
      <c r="G18" s="484">
        <v>3.8E-3</v>
      </c>
      <c r="H18" s="484">
        <v>4.1999999999999997E-3</v>
      </c>
      <c r="I18" s="484">
        <v>4.1999999999999997E-3</v>
      </c>
      <c r="J18" s="484">
        <v>1.03E-2</v>
      </c>
      <c r="K18" s="484">
        <v>1.41E-2</v>
      </c>
      <c r="L18" s="484">
        <v>1.5100000000000001E-2</v>
      </c>
      <c r="M18" s="484">
        <v>1.0800000000000001E-2</v>
      </c>
      <c r="N18" s="483">
        <f>(1+B18)*(1+C18)*(1+D18)*(1+E18)*(1+F18)*(1+G18)*(1+H18)*(1+I18)*(1+J18)*(1+K18)*(1+L18)*(1+M18)-1</f>
        <v>0.12829046032265534</v>
      </c>
      <c r="O18" s="486">
        <f>N17/N18</f>
        <v>0.92849107459443292</v>
      </c>
    </row>
    <row r="19" spans="1:16" ht="15" x14ac:dyDescent="0.25">
      <c r="A19" s="443" t="s">
        <v>118</v>
      </c>
      <c r="B19" s="485">
        <v>6.6E-3</v>
      </c>
      <c r="C19" s="484">
        <v>5.8999999999999999E-3</v>
      </c>
      <c r="D19" s="484">
        <v>7.6E-3</v>
      </c>
      <c r="E19" s="484">
        <v>6.6E-3</v>
      </c>
      <c r="F19" s="484">
        <v>7.4999999999999997E-3</v>
      </c>
      <c r="G19" s="484">
        <v>7.9000000000000008E-3</v>
      </c>
      <c r="H19" s="484">
        <v>8.6E-3</v>
      </c>
      <c r="I19" s="484">
        <v>8.8999999999999999E-3</v>
      </c>
      <c r="J19" s="484">
        <v>8.3999999999999995E-3</v>
      </c>
      <c r="K19" s="484">
        <v>8.0999999999999996E-3</v>
      </c>
      <c r="L19" s="484">
        <v>8.0999999999999996E-3</v>
      </c>
      <c r="M19" s="484">
        <v>9.2999999999999992E-3</v>
      </c>
      <c r="N19" s="483">
        <v>9.74E-2</v>
      </c>
    </row>
    <row r="20" spans="1:16" ht="18.75" thickBot="1" x14ac:dyDescent="0.3">
      <c r="A20" s="449" t="s">
        <v>209</v>
      </c>
      <c r="B20" s="500">
        <f t="shared" ref="B20:M20" si="1">B17-B18</f>
        <v>-1.2E-2</v>
      </c>
      <c r="C20" s="499">
        <f t="shared" si="1"/>
        <v>-1.1000000000000003E-3</v>
      </c>
      <c r="D20" s="480">
        <f t="shared" si="1"/>
        <v>8.6E-3</v>
      </c>
      <c r="E20" s="481">
        <f t="shared" si="1"/>
        <v>-1.3900000000000001E-2</v>
      </c>
      <c r="F20" s="481">
        <f t="shared" si="1"/>
        <v>-1.77E-2</v>
      </c>
      <c r="G20" s="480">
        <f t="shared" si="1"/>
        <v>1.8E-3</v>
      </c>
      <c r="H20" s="480">
        <f t="shared" si="1"/>
        <v>1.83E-2</v>
      </c>
      <c r="I20" s="480">
        <f t="shared" si="1"/>
        <v>7.5000000000000006E-3</v>
      </c>
      <c r="J20" s="480">
        <f t="shared" si="1"/>
        <v>4.8999999999999998E-3</v>
      </c>
      <c r="K20" s="480">
        <f t="shared" si="1"/>
        <v>1.7000000000000019E-3</v>
      </c>
      <c r="L20" s="481">
        <f t="shared" si="1"/>
        <v>-1.43E-2</v>
      </c>
      <c r="M20" s="480">
        <f t="shared" si="1"/>
        <v>8.3999999999999977E-3</v>
      </c>
      <c r="N20" s="495">
        <f>(1+B20)*(1+C20)*(1+D20)*(1+E20)*(1+F20)*(1+G20)*(1+H20)*(1+I20)*(1+J20)*(1+K20)*(1+L20)*(1+M20)-1</f>
        <v>-8.4766094814865411E-3</v>
      </c>
      <c r="O20" s="486"/>
    </row>
    <row r="23" spans="1:16" ht="15" thickBot="1" x14ac:dyDescent="0.25">
      <c r="C23" s="440">
        <f>((PRODUCT(1+Q49/100,1+R49/100,1+S49/100,1+T49/100,1+U49/100,1+V49/100,1+W49/100,1+X49/100,1+Y49/100,1+Z49/100,1+AA49/100,1+AB49/100))-1)*100</f>
        <v>0</v>
      </c>
    </row>
    <row r="24" spans="1:16" ht="18" x14ac:dyDescent="0.25">
      <c r="A24" s="652" t="s">
        <v>228</v>
      </c>
      <c r="B24" s="653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4"/>
    </row>
    <row r="25" spans="1:16" ht="15" thickBot="1" x14ac:dyDescent="0.25">
      <c r="A25" s="649" t="s">
        <v>227</v>
      </c>
      <c r="B25" s="650"/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1"/>
    </row>
    <row r="26" spans="1:16" s="494" customFormat="1" ht="16.5" thickBot="1" x14ac:dyDescent="0.25">
      <c r="A26" s="457"/>
      <c r="B26" s="457"/>
      <c r="C26" s="457"/>
      <c r="D26" s="457"/>
      <c r="E26" s="457"/>
      <c r="F26" s="457"/>
      <c r="G26" s="457"/>
      <c r="H26" s="457"/>
      <c r="I26" s="457"/>
      <c r="J26" s="457"/>
      <c r="K26" s="498" t="s">
        <v>226</v>
      </c>
      <c r="L26" s="498" t="s">
        <v>226</v>
      </c>
      <c r="M26" s="498" t="s">
        <v>226</v>
      </c>
      <c r="N26" s="498" t="s">
        <v>226</v>
      </c>
    </row>
    <row r="27" spans="1:16" ht="15.75" thickBot="1" x14ac:dyDescent="0.25">
      <c r="A27" s="456" t="s">
        <v>212</v>
      </c>
      <c r="B27" s="455">
        <v>40544</v>
      </c>
      <c r="C27" s="454">
        <v>40575</v>
      </c>
      <c r="D27" s="454">
        <v>40603</v>
      </c>
      <c r="E27" s="454">
        <v>40634</v>
      </c>
      <c r="F27" s="454">
        <v>40664</v>
      </c>
      <c r="G27" s="454">
        <v>40695</v>
      </c>
      <c r="H27" s="454">
        <v>40725</v>
      </c>
      <c r="I27" s="454">
        <v>40756</v>
      </c>
      <c r="J27" s="454">
        <v>40787</v>
      </c>
      <c r="K27" s="454">
        <v>40817</v>
      </c>
      <c r="L27" s="454">
        <v>40848</v>
      </c>
      <c r="M27" s="454">
        <v>40878</v>
      </c>
      <c r="N27" s="493" t="s">
        <v>211</v>
      </c>
    </row>
    <row r="28" spans="1:16" ht="15" x14ac:dyDescent="0.25">
      <c r="A28" s="451" t="s">
        <v>225</v>
      </c>
      <c r="B28" s="497">
        <v>-4.0000000000000001E-3</v>
      </c>
      <c r="C28" s="490">
        <v>7.4999999999999997E-3</v>
      </c>
      <c r="D28" s="490">
        <v>1.5100000000000001E-2</v>
      </c>
      <c r="E28" s="490">
        <v>4.0000000000000001E-3</v>
      </c>
      <c r="F28" s="490">
        <v>1.14E-2</v>
      </c>
      <c r="G28" s="491">
        <v>-1E-4</v>
      </c>
      <c r="H28" s="490">
        <v>1.2999999999999999E-3</v>
      </c>
      <c r="I28" s="490">
        <v>3.1399999999999997E-2</v>
      </c>
      <c r="J28" s="490">
        <v>4.5999999999999999E-3</v>
      </c>
      <c r="K28" s="490">
        <v>1.8499999999999999E-2</v>
      </c>
      <c r="L28" s="490">
        <v>1.04E-2</v>
      </c>
      <c r="M28" s="490">
        <v>6.7999999999999996E-3</v>
      </c>
      <c r="N28" s="489">
        <f>(1+B28)*(1+C28)*(1+D28)*(1+E28)*(1+F28)*(1+G28)*(1+H28)*(1+I28)*(1+J28)*(1+K28)*(1+L28)*(1+M28)-1</f>
        <v>0.11175360484602725</v>
      </c>
      <c r="O28" s="488">
        <f>N28/N30</f>
        <v>0.96299748925906337</v>
      </c>
      <c r="P28" s="487" t="s">
        <v>71</v>
      </c>
    </row>
    <row r="29" spans="1:16" ht="15" x14ac:dyDescent="0.25">
      <c r="A29" s="443" t="s">
        <v>208</v>
      </c>
      <c r="B29" s="485">
        <v>1.43E-2</v>
      </c>
      <c r="C29" s="484">
        <v>1.03E-2</v>
      </c>
      <c r="D29" s="484">
        <v>1.15E-2</v>
      </c>
      <c r="E29" s="484">
        <v>1.21E-2</v>
      </c>
      <c r="F29" s="484">
        <v>1.0699999999999999E-2</v>
      </c>
      <c r="G29" s="484">
        <v>7.1000000000000004E-3</v>
      </c>
      <c r="H29" s="484">
        <v>4.9800000000000001E-3</v>
      </c>
      <c r="I29" s="484">
        <v>9.1999999999999998E-3</v>
      </c>
      <c r="J29" s="484">
        <v>9.4000000000000004E-3</v>
      </c>
      <c r="K29" s="484">
        <v>8.0999999999999996E-3</v>
      </c>
      <c r="L29" s="484">
        <v>1.06E-2</v>
      </c>
      <c r="M29" s="484">
        <v>0.01</v>
      </c>
      <c r="N29" s="483">
        <f>(1+B29)*(1+C29)*(1+D29)*(1+E29)*(1+F29)*(1+G29)*(1+H29)*(1+I29)*(1+J29)*(1+K29)*(1+L29)*(1+M29)-1</f>
        <v>0.12487223103260225</v>
      </c>
      <c r="O29" s="488">
        <f>N28/N29</f>
        <v>0.89494360693251385</v>
      </c>
      <c r="P29" s="487" t="s">
        <v>224</v>
      </c>
    </row>
    <row r="30" spans="1:16" ht="15" x14ac:dyDescent="0.25">
      <c r="A30" s="443" t="s">
        <v>118</v>
      </c>
      <c r="B30" s="485">
        <v>8.6E-3</v>
      </c>
      <c r="C30" s="484">
        <v>8.3999999999999995E-3</v>
      </c>
      <c r="D30" s="484">
        <v>9.1999999999999998E-3</v>
      </c>
      <c r="E30" s="484">
        <v>8.3999999999999995E-3</v>
      </c>
      <c r="F30" s="484">
        <v>9.9000000000000008E-3</v>
      </c>
      <c r="G30" s="484">
        <v>9.4999999999999998E-3</v>
      </c>
      <c r="H30" s="484">
        <v>9.7000000000000003E-3</v>
      </c>
      <c r="I30" s="484">
        <v>1.0699999999999999E-2</v>
      </c>
      <c r="J30" s="484">
        <v>9.4000000000000004E-3</v>
      </c>
      <c r="K30" s="484">
        <v>8.8000000000000005E-3</v>
      </c>
      <c r="L30" s="484">
        <v>8.6E-3</v>
      </c>
      <c r="M30" s="484">
        <v>9.1000000000000004E-3</v>
      </c>
      <c r="N30" s="483">
        <f>(1+B30)*(1+C30)*(1+D30)*(1+E30)*(1+F30)*(1+G30)*(1+H30)*(1+I30)*(1+J30)*(1+K30)*(1+L30)*(1+M30)-1</f>
        <v>0.11604765961748376</v>
      </c>
    </row>
    <row r="31" spans="1:16" ht="18.75" thickBot="1" x14ac:dyDescent="0.3">
      <c r="A31" s="449" t="s">
        <v>209</v>
      </c>
      <c r="B31" s="496">
        <f t="shared" ref="B31:M31" si="2">B28-B29</f>
        <v>-1.83E-2</v>
      </c>
      <c r="C31" s="481">
        <f t="shared" si="2"/>
        <v>-2.8000000000000004E-3</v>
      </c>
      <c r="D31" s="480">
        <f t="shared" si="2"/>
        <v>3.6000000000000008E-3</v>
      </c>
      <c r="E31" s="481">
        <f t="shared" si="2"/>
        <v>-8.0999999999999996E-3</v>
      </c>
      <c r="F31" s="480">
        <f t="shared" si="2"/>
        <v>7.0000000000000097E-4</v>
      </c>
      <c r="G31" s="481">
        <f t="shared" si="2"/>
        <v>-7.2000000000000007E-3</v>
      </c>
      <c r="H31" s="481">
        <f t="shared" si="2"/>
        <v>-3.6800000000000001E-3</v>
      </c>
      <c r="I31" s="480">
        <f t="shared" si="2"/>
        <v>2.2199999999999998E-2</v>
      </c>
      <c r="J31" s="481">
        <f t="shared" si="2"/>
        <v>-4.8000000000000004E-3</v>
      </c>
      <c r="K31" s="479">
        <f t="shared" si="2"/>
        <v>1.04E-2</v>
      </c>
      <c r="L31" s="481">
        <f t="shared" si="2"/>
        <v>-2.0000000000000052E-4</v>
      </c>
      <c r="M31" s="481">
        <f t="shared" si="2"/>
        <v>-3.2000000000000006E-3</v>
      </c>
      <c r="N31" s="495">
        <f>(1+B31)*(1+C31)*(1+D31)*(1+E31)*(1+F31)*(1+G31)*(1+H31)*(1+I31)*(1+J31)*(1+K31)*(1+L31)*(1+M31)-1</f>
        <v>-1.1868228055944341E-2</v>
      </c>
    </row>
    <row r="34" spans="1:16" ht="15" thickBot="1" x14ac:dyDescent="0.25"/>
    <row r="35" spans="1:16" ht="18" x14ac:dyDescent="0.25">
      <c r="A35" s="652" t="s">
        <v>222</v>
      </c>
      <c r="B35" s="653"/>
      <c r="C35" s="653"/>
      <c r="D35" s="653"/>
      <c r="E35" s="653"/>
      <c r="F35" s="653"/>
      <c r="G35" s="653"/>
      <c r="H35" s="653"/>
      <c r="I35" s="653"/>
      <c r="J35" s="653"/>
      <c r="K35" s="653"/>
      <c r="L35" s="653"/>
      <c r="M35" s="653"/>
      <c r="N35" s="654"/>
    </row>
    <row r="36" spans="1:16" ht="15" thickBot="1" x14ac:dyDescent="0.25">
      <c r="A36" s="649" t="s">
        <v>223</v>
      </c>
      <c r="B36" s="650"/>
      <c r="C36" s="650"/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651"/>
    </row>
    <row r="37" spans="1:16" ht="16.5" thickBot="1" x14ac:dyDescent="0.25">
      <c r="A37" s="457"/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94"/>
      <c r="P37" s="494"/>
    </row>
    <row r="38" spans="1:16" ht="15.75" thickBot="1" x14ac:dyDescent="0.25">
      <c r="A38" s="456" t="s">
        <v>212</v>
      </c>
      <c r="B38" s="455">
        <v>40909</v>
      </c>
      <c r="C38" s="454">
        <v>40940</v>
      </c>
      <c r="D38" s="454">
        <v>40969</v>
      </c>
      <c r="E38" s="454">
        <v>41000</v>
      </c>
      <c r="F38" s="454">
        <v>41030</v>
      </c>
      <c r="G38" s="454">
        <v>41061</v>
      </c>
      <c r="H38" s="454">
        <v>41091</v>
      </c>
      <c r="I38" s="454">
        <v>41122</v>
      </c>
      <c r="J38" s="454">
        <v>41153</v>
      </c>
      <c r="K38" s="454">
        <v>41183</v>
      </c>
      <c r="L38" s="454">
        <v>41214</v>
      </c>
      <c r="M38" s="454">
        <v>41244</v>
      </c>
      <c r="N38" s="493" t="s">
        <v>211</v>
      </c>
    </row>
    <row r="39" spans="1:16" ht="15" x14ac:dyDescent="0.25">
      <c r="A39" s="451" t="s">
        <v>210</v>
      </c>
      <c r="B39" s="492">
        <v>2.0199999999999999E-2</v>
      </c>
      <c r="C39" s="490">
        <v>2.0199999999999999E-2</v>
      </c>
      <c r="D39" s="490">
        <v>1.43E-2</v>
      </c>
      <c r="E39" s="490">
        <v>3.4299999999999997E-2</v>
      </c>
      <c r="F39" s="490">
        <v>5.8999999999999999E-3</v>
      </c>
      <c r="G39" s="491">
        <v>1.1000000000000001E-3</v>
      </c>
      <c r="H39" s="490">
        <v>2.2700000000000001E-2</v>
      </c>
      <c r="I39" s="490">
        <v>1.52E-2</v>
      </c>
      <c r="J39" s="490">
        <v>1.2999999999999999E-2</v>
      </c>
      <c r="K39" s="490">
        <v>2.69E-2</v>
      </c>
      <c r="L39" s="490">
        <v>6.7999999999999996E-3</v>
      </c>
      <c r="M39" s="490">
        <v>2.3800000000000002E-2</v>
      </c>
      <c r="N39" s="489">
        <f>(1+B39)*(1+C39)*(1+D39)*(1+E39)*(1+F39)*(1+G39)*(1+H39)*(1+I39)*(1+J39)*(1+K39)*(1+L39)*(1+M39)-1</f>
        <v>0.22408522076343473</v>
      </c>
      <c r="O39" s="488">
        <f>N39/N41</f>
        <v>2.6655050283687647</v>
      </c>
      <c r="P39" s="487" t="s">
        <v>71</v>
      </c>
    </row>
    <row r="40" spans="1:16" ht="15" x14ac:dyDescent="0.25">
      <c r="A40" s="443" t="s">
        <v>208</v>
      </c>
      <c r="B40" s="485">
        <f>0.0051*(1+0.005)+0.005</f>
        <v>1.0125499999999999E-2</v>
      </c>
      <c r="C40" s="484">
        <f>0.0039*(1+0.005)+0.005</f>
        <v>8.9195000000000003E-3</v>
      </c>
      <c r="D40" s="484">
        <v>6.7999999999999996E-3</v>
      </c>
      <c r="E40" s="484">
        <v>1.14E-2</v>
      </c>
      <c r="F40" s="484">
        <v>1.04E-2</v>
      </c>
      <c r="G40" s="484">
        <v>7.6E-3</v>
      </c>
      <c r="H40" s="484">
        <v>9.2999999999999992E-3</v>
      </c>
      <c r="I40" s="484">
        <v>9.4000000000000004E-3</v>
      </c>
      <c r="J40" s="484">
        <v>1.1299999999999999E-2</v>
      </c>
      <c r="K40" s="484">
        <v>1.21E-2</v>
      </c>
      <c r="L40" s="484">
        <v>1.04E-2</v>
      </c>
      <c r="M40" s="484">
        <v>1.24E-2</v>
      </c>
      <c r="N40" s="483">
        <f>(1+B40)*(1+C40)*(1+D40)*(1+E40)*(1+F40)*(1+G40)*(1+H40)*(1+I40)*(1+J40)*(1+K40)*(1+L40)*(1+M40)-1</f>
        <v>0.12696903417320171</v>
      </c>
      <c r="O40" s="486">
        <f>N39/N40</f>
        <v>1.7648808799927891</v>
      </c>
    </row>
    <row r="41" spans="1:16" ht="15" x14ac:dyDescent="0.25">
      <c r="A41" s="443" t="s">
        <v>118</v>
      </c>
      <c r="B41" s="485">
        <v>8.8999999999999999E-3</v>
      </c>
      <c r="C41" s="484">
        <v>7.4000000000000003E-3</v>
      </c>
      <c r="D41" s="484">
        <v>8.0999999999999996E-3</v>
      </c>
      <c r="E41" s="484">
        <v>7.0000000000000001E-3</v>
      </c>
      <c r="F41" s="484">
        <v>7.3000000000000001E-3</v>
      </c>
      <c r="G41" s="484">
        <v>6.4000000000000003E-3</v>
      </c>
      <c r="H41" s="484">
        <v>6.7999999999999996E-3</v>
      </c>
      <c r="I41" s="484">
        <v>6.8999999999999999E-3</v>
      </c>
      <c r="J41" s="484">
        <v>5.4000000000000003E-3</v>
      </c>
      <c r="K41" s="484">
        <v>6.1000000000000004E-3</v>
      </c>
      <c r="L41" s="484">
        <v>5.4000000000000003E-3</v>
      </c>
      <c r="M41" s="484">
        <v>5.3E-3</v>
      </c>
      <c r="N41" s="483">
        <f>(1+B41)*(1+C41)*(1+D41)*(1+E41)*(1+F41)*(1+G41)*(1+H41)*(1+I41)*(1+J41)*(1+K41)*(1+L41)*(1+M41)-1</f>
        <v>8.4068579266785459E-2</v>
      </c>
    </row>
    <row r="42" spans="1:16" ht="15.75" thickBot="1" x14ac:dyDescent="0.3">
      <c r="A42" s="449" t="s">
        <v>209</v>
      </c>
      <c r="B42" s="482">
        <f t="shared" ref="B42:N42" si="3">B39-B40</f>
        <v>1.00745E-2</v>
      </c>
      <c r="C42" s="479">
        <f t="shared" si="3"/>
        <v>1.1280499999999999E-2</v>
      </c>
      <c r="D42" s="480">
        <f t="shared" si="3"/>
        <v>7.5000000000000006E-3</v>
      </c>
      <c r="E42" s="480">
        <f t="shared" si="3"/>
        <v>2.2899999999999997E-2</v>
      </c>
      <c r="F42" s="480">
        <f t="shared" si="3"/>
        <v>-4.4999999999999997E-3</v>
      </c>
      <c r="G42" s="481">
        <f t="shared" si="3"/>
        <v>-6.4999999999999997E-3</v>
      </c>
      <c r="H42" s="479">
        <f t="shared" si="3"/>
        <v>1.3400000000000002E-2</v>
      </c>
      <c r="I42" s="480">
        <f t="shared" si="3"/>
        <v>5.7999999999999996E-3</v>
      </c>
      <c r="J42" s="479">
        <f t="shared" si="3"/>
        <v>1.7000000000000001E-3</v>
      </c>
      <c r="K42" s="479">
        <f t="shared" si="3"/>
        <v>1.4800000000000001E-2</v>
      </c>
      <c r="L42" s="479">
        <f t="shared" si="3"/>
        <v>-3.5999999999999999E-3</v>
      </c>
      <c r="M42" s="479">
        <f t="shared" si="3"/>
        <v>1.1400000000000002E-2</v>
      </c>
      <c r="N42" s="479">
        <f t="shared" si="3"/>
        <v>9.7116186590233022E-2</v>
      </c>
    </row>
    <row r="44" spans="1:16" x14ac:dyDescent="0.2">
      <c r="N44" s="440">
        <f>((PRODUCT(1+Q49/100,1+R49/100,1+S49/100,1+T49/100,1+U49/100,1+V49/100,1+W49/100,1+X49/100,1+Y49/100,1+Z49/100,1+AA49/100,1+AB49/100))-1)*100</f>
        <v>0</v>
      </c>
    </row>
    <row r="45" spans="1:16" ht="15" thickBot="1" x14ac:dyDescent="0.25"/>
    <row r="46" spans="1:16" ht="18" x14ac:dyDescent="0.25">
      <c r="A46" s="652" t="s">
        <v>222</v>
      </c>
      <c r="B46" s="653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4"/>
    </row>
    <row r="47" spans="1:16" ht="15" thickBot="1" x14ac:dyDescent="0.25">
      <c r="A47" s="649" t="s">
        <v>219</v>
      </c>
      <c r="B47" s="650"/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1"/>
    </row>
    <row r="48" spans="1:16" ht="16.5" thickBot="1" x14ac:dyDescent="0.25">
      <c r="A48" s="457"/>
      <c r="B48" s="457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</row>
    <row r="49" spans="1:14" ht="15.75" thickBot="1" x14ac:dyDescent="0.25">
      <c r="A49" s="456" t="s">
        <v>212</v>
      </c>
      <c r="B49" s="455">
        <v>40909</v>
      </c>
      <c r="C49" s="454">
        <v>40940</v>
      </c>
      <c r="D49" s="454">
        <v>40969</v>
      </c>
      <c r="E49" s="454">
        <v>41000</v>
      </c>
      <c r="F49" s="454">
        <v>41030</v>
      </c>
      <c r="G49" s="454">
        <v>41061</v>
      </c>
      <c r="H49" s="454">
        <v>41091</v>
      </c>
      <c r="I49" s="454">
        <v>41122</v>
      </c>
      <c r="J49" s="454">
        <v>41153</v>
      </c>
      <c r="K49" s="454">
        <v>41183</v>
      </c>
      <c r="L49" s="454">
        <v>41214</v>
      </c>
      <c r="M49" s="453">
        <v>41244</v>
      </c>
      <c r="N49" s="452" t="s">
        <v>211</v>
      </c>
    </row>
    <row r="50" spans="1:14" ht="15.75" thickBot="1" x14ac:dyDescent="0.3">
      <c r="A50" s="451" t="s">
        <v>210</v>
      </c>
      <c r="B50" s="442">
        <v>2.02</v>
      </c>
      <c r="C50" s="442">
        <v>2.02</v>
      </c>
      <c r="D50" s="442">
        <v>1.43</v>
      </c>
      <c r="E50" s="442">
        <v>3.43</v>
      </c>
      <c r="F50" s="442">
        <v>0.59</v>
      </c>
      <c r="G50" s="442">
        <v>0.11</v>
      </c>
      <c r="H50" s="442">
        <v>2.27</v>
      </c>
      <c r="I50" s="442">
        <v>1.52</v>
      </c>
      <c r="J50" s="442">
        <v>1.3</v>
      </c>
      <c r="K50" s="442">
        <v>2.69</v>
      </c>
      <c r="L50" s="442">
        <v>0.68</v>
      </c>
      <c r="M50" s="442">
        <v>2.38</v>
      </c>
      <c r="N50" s="441">
        <f>((PRODUCT(1+B50/100,1+C50/100,1+D50/100,1+E50/100,1+F50/100,1+G50/100,1+H50/100,1+I50/100,1+J50/100,1+K50/100,1+L50/100,1+M50/100))-1)*100</f>
        <v>22.408522076343473</v>
      </c>
    </row>
    <row r="51" spans="1:14" ht="15.75" thickBot="1" x14ac:dyDescent="0.3">
      <c r="A51" s="443" t="s">
        <v>208</v>
      </c>
      <c r="B51" s="442">
        <v>1.01</v>
      </c>
      <c r="C51" s="442">
        <v>0.89</v>
      </c>
      <c r="D51" s="442">
        <v>0.68</v>
      </c>
      <c r="E51" s="442">
        <v>1.1399999999999999</v>
      </c>
      <c r="F51" s="442">
        <v>1.04</v>
      </c>
      <c r="G51" s="442">
        <v>0.76</v>
      </c>
      <c r="H51" s="442">
        <v>0.93</v>
      </c>
      <c r="I51" s="442">
        <v>0.94</v>
      </c>
      <c r="J51" s="442">
        <v>1.1299999999999999</v>
      </c>
      <c r="K51" s="442">
        <v>1.21</v>
      </c>
      <c r="L51" s="442">
        <v>1.04</v>
      </c>
      <c r="M51" s="442">
        <v>1.24</v>
      </c>
      <c r="N51" s="441">
        <f>((PRODUCT(1+B51/100,1+C51/100,1+D51/100,1+E51/100,1+F51/100,1+G51/100,1+H51/100,1+I51/100,1+J51/100,1+K51/100,1+L51/100,1+M51/100))-1)*100</f>
        <v>12.691880346450791</v>
      </c>
    </row>
    <row r="52" spans="1:14" ht="15.75" thickBot="1" x14ac:dyDescent="0.3">
      <c r="A52" s="443" t="s">
        <v>118</v>
      </c>
      <c r="B52" s="442">
        <v>0.89</v>
      </c>
      <c r="C52" s="442">
        <v>0.74</v>
      </c>
      <c r="D52" s="442">
        <v>0.81</v>
      </c>
      <c r="E52" s="442">
        <v>0.7</v>
      </c>
      <c r="F52" s="442">
        <v>0.73</v>
      </c>
      <c r="G52" s="442">
        <v>0.64</v>
      </c>
      <c r="H52" s="442">
        <v>0.68</v>
      </c>
      <c r="I52" s="442">
        <v>0.69</v>
      </c>
      <c r="J52" s="442">
        <v>0.54</v>
      </c>
      <c r="K52" s="442">
        <v>0.61</v>
      </c>
      <c r="L52" s="442">
        <v>0.54</v>
      </c>
      <c r="M52" s="442">
        <v>0.53</v>
      </c>
      <c r="N52" s="441">
        <f>((PRODUCT(1+B52/100,1+C52/100,1+D52/100,1+E52/100,1+F52/100,1+G52/100,1+H52/100,1+I52/100,1+J52/100,1+K52/100,1+L52/100,1+M52/100))-1)*100</f>
        <v>8.4068579266785459</v>
      </c>
    </row>
    <row r="53" spans="1:14" ht="15.75" thickBot="1" x14ac:dyDescent="0.3">
      <c r="A53" s="449" t="s">
        <v>209</v>
      </c>
      <c r="B53" s="445">
        <f t="shared" ref="B53:N53" si="4">B50-B51</f>
        <v>1.01</v>
      </c>
      <c r="C53" s="445">
        <f t="shared" si="4"/>
        <v>1.1299999999999999</v>
      </c>
      <c r="D53" s="445">
        <f t="shared" si="4"/>
        <v>0.74999999999999989</v>
      </c>
      <c r="E53" s="445">
        <f t="shared" si="4"/>
        <v>2.29</v>
      </c>
      <c r="F53" s="446">
        <f t="shared" si="4"/>
        <v>-0.45000000000000007</v>
      </c>
      <c r="G53" s="445">
        <f t="shared" si="4"/>
        <v>-0.65</v>
      </c>
      <c r="H53" s="445">
        <f t="shared" si="4"/>
        <v>1.3399999999999999</v>
      </c>
      <c r="I53" s="445">
        <f t="shared" si="4"/>
        <v>0.58000000000000007</v>
      </c>
      <c r="J53" s="445">
        <f t="shared" si="4"/>
        <v>0.17000000000000015</v>
      </c>
      <c r="K53" s="445">
        <f t="shared" si="4"/>
        <v>1.48</v>
      </c>
      <c r="L53" s="445">
        <f t="shared" si="4"/>
        <v>-0.36</v>
      </c>
      <c r="M53" s="445">
        <f t="shared" si="4"/>
        <v>1.1399999999999999</v>
      </c>
      <c r="N53" s="458">
        <f t="shared" si="4"/>
        <v>9.7166417298926824</v>
      </c>
    </row>
    <row r="55" spans="1:14" ht="15" thickBot="1" x14ac:dyDescent="0.25"/>
    <row r="56" spans="1:14" ht="18" x14ac:dyDescent="0.25">
      <c r="A56" s="652" t="s">
        <v>221</v>
      </c>
      <c r="B56" s="653"/>
      <c r="C56" s="653"/>
      <c r="D56" s="653"/>
      <c r="E56" s="653"/>
      <c r="F56" s="653"/>
      <c r="G56" s="653"/>
      <c r="H56" s="653"/>
      <c r="I56" s="653"/>
      <c r="J56" s="653"/>
      <c r="K56" s="653"/>
      <c r="L56" s="653"/>
      <c r="M56" s="653"/>
      <c r="N56" s="654"/>
    </row>
    <row r="57" spans="1:14" ht="15" thickBot="1" x14ac:dyDescent="0.25">
      <c r="A57" s="649" t="s">
        <v>219</v>
      </c>
      <c r="B57" s="650"/>
      <c r="C57" s="650"/>
      <c r="D57" s="650"/>
      <c r="E57" s="650"/>
      <c r="F57" s="650"/>
      <c r="G57" s="650"/>
      <c r="H57" s="650"/>
      <c r="I57" s="650"/>
      <c r="J57" s="650"/>
      <c r="K57" s="650"/>
      <c r="L57" s="650"/>
      <c r="M57" s="650"/>
      <c r="N57" s="651"/>
    </row>
    <row r="58" spans="1:14" ht="15" thickBot="1" x14ac:dyDescent="0.25"/>
    <row r="59" spans="1:14" ht="15.75" thickBot="1" x14ac:dyDescent="0.25">
      <c r="A59" s="456" t="s">
        <v>212</v>
      </c>
      <c r="B59" s="455">
        <v>41275</v>
      </c>
      <c r="C59" s="455">
        <v>41306</v>
      </c>
      <c r="D59" s="455">
        <v>41334</v>
      </c>
      <c r="E59" s="455">
        <v>41365</v>
      </c>
      <c r="F59" s="455">
        <v>41395</v>
      </c>
      <c r="G59" s="455">
        <v>41426</v>
      </c>
      <c r="H59" s="455">
        <v>41456</v>
      </c>
      <c r="I59" s="455">
        <v>41487</v>
      </c>
      <c r="J59" s="455">
        <v>41518</v>
      </c>
      <c r="K59" s="455">
        <v>41548</v>
      </c>
      <c r="L59" s="455">
        <v>41579</v>
      </c>
      <c r="M59" s="455">
        <v>41609</v>
      </c>
      <c r="N59" s="452" t="s">
        <v>211</v>
      </c>
    </row>
    <row r="60" spans="1:14" ht="15.75" thickBot="1" x14ac:dyDescent="0.3">
      <c r="A60" s="451" t="s">
        <v>210</v>
      </c>
      <c r="B60" s="442">
        <v>0.47</v>
      </c>
      <c r="C60" s="442">
        <v>-0.7</v>
      </c>
      <c r="D60" s="442">
        <v>-1.31</v>
      </c>
      <c r="E60" s="442">
        <v>1.18</v>
      </c>
      <c r="F60" s="442">
        <v>-2.31</v>
      </c>
      <c r="G60" s="442">
        <v>-3.31</v>
      </c>
      <c r="H60" s="442">
        <v>0.99</v>
      </c>
      <c r="I60" s="442">
        <v>-1.3</v>
      </c>
      <c r="J60" s="442">
        <v>1.32</v>
      </c>
      <c r="K60" s="442">
        <v>1.26</v>
      </c>
      <c r="L60" s="442">
        <v>-2.5299999999999998</v>
      </c>
      <c r="M60" s="442">
        <v>0.19</v>
      </c>
      <c r="N60" s="441">
        <f>((PRODUCT(1+B60/100,1+C60/100,1+D60/100,1+E60/100,1+F60/100,1+G60/100,1+H60/100,1+I60/100,1+J60/100,1+K60/100,1+L60/100,1+M60/100))-1)*100</f>
        <v>-6.0256963345455494</v>
      </c>
    </row>
    <row r="61" spans="1:14" ht="15.75" thickBot="1" x14ac:dyDescent="0.3">
      <c r="A61" s="443" t="s">
        <v>208</v>
      </c>
      <c r="B61" s="442">
        <v>1.41</v>
      </c>
      <c r="C61" s="442">
        <v>1.02</v>
      </c>
      <c r="D61" s="442">
        <v>1.1000000000000001</v>
      </c>
      <c r="E61" s="442">
        <v>1.0900000000000001</v>
      </c>
      <c r="F61" s="442">
        <v>0.85</v>
      </c>
      <c r="G61" s="442">
        <v>0.78</v>
      </c>
      <c r="H61" s="442">
        <v>0.37</v>
      </c>
      <c r="I61" s="442">
        <v>0.66</v>
      </c>
      <c r="J61" s="442">
        <v>0.77</v>
      </c>
      <c r="K61" s="442">
        <v>1.1100000000000001</v>
      </c>
      <c r="L61" s="442">
        <v>1.04</v>
      </c>
      <c r="M61" s="442">
        <v>1.22</v>
      </c>
      <c r="N61" s="441">
        <f>((PRODUCT(1+B61/100,1+C61/100,1+D61/100,1+E61/100,1+F61/100,1+G61/100,1+H61/100,1+I61/100,1+J61/100,1+K61/100,1+L61/100,1+M61/100))-1)*100</f>
        <v>12.032401441100138</v>
      </c>
    </row>
    <row r="62" spans="1:14" ht="15.75" thickBot="1" x14ac:dyDescent="0.3">
      <c r="A62" s="443" t="s">
        <v>118</v>
      </c>
      <c r="B62" s="442">
        <v>0.59</v>
      </c>
      <c r="C62" s="442">
        <v>0.48</v>
      </c>
      <c r="D62" s="442">
        <v>0.54</v>
      </c>
      <c r="E62" s="442">
        <v>0.6</v>
      </c>
      <c r="F62" s="442">
        <v>0.57999999999999996</v>
      </c>
      <c r="G62" s="442">
        <v>0.59</v>
      </c>
      <c r="H62" s="442">
        <v>0.71</v>
      </c>
      <c r="I62" s="442">
        <v>0.69</v>
      </c>
      <c r="J62" s="442">
        <v>0.7</v>
      </c>
      <c r="K62" s="442">
        <v>0.8</v>
      </c>
      <c r="L62" s="442">
        <v>0.71</v>
      </c>
      <c r="M62" s="442">
        <v>0.78</v>
      </c>
      <c r="N62" s="441">
        <f>((PRODUCT(1+B62/100,1+C62/100,1+D62/100,1+E62/100,1+F62/100,1+G62/100,1+H62/100,1+I62/100,1+J62/100,1+K62/100,1+L62/100,1+M62/100))-1)*100</f>
        <v>8.0522028082237398</v>
      </c>
    </row>
    <row r="63" spans="1:14" ht="15.75" thickBot="1" x14ac:dyDescent="0.3">
      <c r="A63" s="449" t="s">
        <v>209</v>
      </c>
      <c r="B63" s="446">
        <f t="shared" ref="B63:N63" si="5">B60-B61</f>
        <v>-0.94</v>
      </c>
      <c r="C63" s="446">
        <f t="shared" si="5"/>
        <v>-1.72</v>
      </c>
      <c r="D63" s="446">
        <f t="shared" si="5"/>
        <v>-2.41</v>
      </c>
      <c r="E63" s="445">
        <f t="shared" si="5"/>
        <v>8.9999999999999858E-2</v>
      </c>
      <c r="F63" s="446">
        <f t="shared" si="5"/>
        <v>-3.16</v>
      </c>
      <c r="G63" s="446">
        <f t="shared" si="5"/>
        <v>-4.09</v>
      </c>
      <c r="H63" s="445">
        <f t="shared" si="5"/>
        <v>0.62</v>
      </c>
      <c r="I63" s="446">
        <f t="shared" si="5"/>
        <v>-1.96</v>
      </c>
      <c r="J63" s="445">
        <f t="shared" si="5"/>
        <v>0.55000000000000004</v>
      </c>
      <c r="K63" s="445">
        <f t="shared" si="5"/>
        <v>0.14999999999999991</v>
      </c>
      <c r="L63" s="445">
        <f t="shared" si="5"/>
        <v>-3.57</v>
      </c>
      <c r="M63" s="445">
        <f t="shared" si="5"/>
        <v>-1.03</v>
      </c>
      <c r="N63" s="459">
        <f t="shared" si="5"/>
        <v>-18.058097775645688</v>
      </c>
    </row>
    <row r="64" spans="1:14" ht="15" thickBot="1" x14ac:dyDescent="0.25"/>
    <row r="65" spans="1:14" ht="18" x14ac:dyDescent="0.25">
      <c r="A65" s="652" t="s">
        <v>214</v>
      </c>
      <c r="B65" s="653"/>
      <c r="C65" s="653"/>
      <c r="D65" s="653"/>
      <c r="E65" s="653"/>
      <c r="F65" s="653"/>
      <c r="G65" s="653"/>
      <c r="H65" s="653"/>
      <c r="I65" s="653"/>
      <c r="J65" s="653"/>
      <c r="K65" s="653"/>
      <c r="L65" s="653"/>
      <c r="M65" s="653"/>
      <c r="N65" s="654"/>
    </row>
    <row r="66" spans="1:14" ht="15" thickBot="1" x14ac:dyDescent="0.25">
      <c r="A66" s="649" t="s">
        <v>219</v>
      </c>
      <c r="B66" s="650"/>
      <c r="C66" s="650"/>
      <c r="D66" s="650"/>
      <c r="E66" s="650"/>
      <c r="F66" s="650"/>
      <c r="G66" s="650"/>
      <c r="H66" s="650"/>
      <c r="I66" s="650"/>
      <c r="J66" s="650"/>
      <c r="K66" s="650"/>
      <c r="L66" s="650"/>
      <c r="M66" s="650"/>
      <c r="N66" s="651"/>
    </row>
    <row r="67" spans="1:14" ht="16.5" thickBot="1" x14ac:dyDescent="0.25">
      <c r="A67" s="457"/>
      <c r="B67" s="457"/>
      <c r="C67" s="457"/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7"/>
    </row>
    <row r="68" spans="1:14" ht="15.75" thickBot="1" x14ac:dyDescent="0.25">
      <c r="A68" s="456" t="s">
        <v>212</v>
      </c>
      <c r="B68" s="455">
        <v>41275</v>
      </c>
      <c r="C68" s="454">
        <v>41306</v>
      </c>
      <c r="D68" s="454">
        <v>41334</v>
      </c>
      <c r="E68" s="454">
        <v>41365</v>
      </c>
      <c r="F68" s="454">
        <v>41395</v>
      </c>
      <c r="G68" s="454">
        <v>41426</v>
      </c>
      <c r="H68" s="454">
        <v>41456</v>
      </c>
      <c r="I68" s="454">
        <v>41487</v>
      </c>
      <c r="J68" s="454">
        <v>41518</v>
      </c>
      <c r="K68" s="454">
        <v>41548</v>
      </c>
      <c r="L68" s="454">
        <v>41579</v>
      </c>
      <c r="M68" s="453">
        <v>41609</v>
      </c>
      <c r="N68" s="452" t="s">
        <v>211</v>
      </c>
    </row>
    <row r="69" spans="1:14" ht="15.75" thickBot="1" x14ac:dyDescent="0.3">
      <c r="A69" s="451" t="s">
        <v>210</v>
      </c>
      <c r="B69" s="442">
        <v>0.47</v>
      </c>
      <c r="C69" s="442">
        <v>-0.7</v>
      </c>
      <c r="D69" s="442">
        <v>-1.31</v>
      </c>
      <c r="E69" s="442">
        <v>1.18</v>
      </c>
      <c r="F69" s="442">
        <v>-2.31</v>
      </c>
      <c r="G69" s="442">
        <v>-3.31</v>
      </c>
      <c r="H69" s="442">
        <v>0.99</v>
      </c>
      <c r="I69" s="442">
        <v>-1.3</v>
      </c>
      <c r="J69" s="442">
        <v>1.32</v>
      </c>
      <c r="K69" s="442">
        <v>1.26</v>
      </c>
      <c r="L69" s="442">
        <v>-2.5299999999999998</v>
      </c>
      <c r="M69" s="442">
        <v>0.19</v>
      </c>
      <c r="N69" s="441">
        <f>((PRODUCT(1+B69/100,1+C69/100,1+D69/100,1+E69/100,1+F69/100,1+G69/100,1+H69/100,1+I69/100,1+J69/100,1+K69/100,1+L69/100,1+M69/100))-1)*100</f>
        <v>-6.0256963345455494</v>
      </c>
    </row>
    <row r="70" spans="1:14" ht="15.75" thickBot="1" x14ac:dyDescent="0.3">
      <c r="A70" s="443" t="s">
        <v>208</v>
      </c>
      <c r="B70" s="442">
        <v>1.42</v>
      </c>
      <c r="C70" s="442">
        <v>1.02</v>
      </c>
      <c r="D70" s="442">
        <v>1.1000000000000001</v>
      </c>
      <c r="E70" s="442">
        <v>1.0900000000000001</v>
      </c>
      <c r="F70" s="442">
        <v>0.85</v>
      </c>
      <c r="G70" s="442">
        <v>0.78</v>
      </c>
      <c r="H70" s="442">
        <v>0.37</v>
      </c>
      <c r="I70" s="442">
        <v>0.66</v>
      </c>
      <c r="J70" s="442">
        <v>0.77</v>
      </c>
      <c r="K70" s="442">
        <v>1.1100000000000001</v>
      </c>
      <c r="L70" s="442">
        <v>1.04</v>
      </c>
      <c r="M70" s="442">
        <v>1.22</v>
      </c>
      <c r="N70" s="441">
        <f>((PRODUCT(1+B70/100,1+C70/100,1+D70/100,1+E70/100,1+F70/100,1+G70/100,1+H70/100,1+I70/100,1+J70/100,1+K70/100,1+L70/100,1+M70/100))-1)*100</f>
        <v>12.043448911905919</v>
      </c>
    </row>
    <row r="71" spans="1:14" ht="15.75" thickBot="1" x14ac:dyDescent="0.3">
      <c r="A71" s="443" t="s">
        <v>118</v>
      </c>
      <c r="B71" s="442">
        <v>0.59</v>
      </c>
      <c r="C71" s="442">
        <v>0.48</v>
      </c>
      <c r="D71" s="442">
        <v>0.54</v>
      </c>
      <c r="E71" s="442">
        <v>0.6</v>
      </c>
      <c r="F71" s="442">
        <v>0.57999999999999996</v>
      </c>
      <c r="G71" s="442">
        <v>0.59</v>
      </c>
      <c r="H71" s="442">
        <v>0.71</v>
      </c>
      <c r="I71" s="442">
        <v>0.69</v>
      </c>
      <c r="J71" s="442">
        <v>0.7</v>
      </c>
      <c r="K71" s="442">
        <v>0.8</v>
      </c>
      <c r="L71" s="442">
        <v>0.71</v>
      </c>
      <c r="M71" s="442">
        <v>0.78</v>
      </c>
      <c r="N71" s="441">
        <f>((PRODUCT(1+B71/100,1+C71/100,1+D71/100,1+E71/100,1+F71/100,1+G71/100,1+H71/100,1+I71/100,1+J71/100,1+K71/100,1+L71/100,1+M71/100))-1)*100</f>
        <v>8.0522028082237398</v>
      </c>
    </row>
    <row r="72" spans="1:14" ht="15.75" thickBot="1" x14ac:dyDescent="0.3">
      <c r="A72" s="449" t="s">
        <v>209</v>
      </c>
      <c r="B72" s="445">
        <f t="shared" ref="B72:N72" si="6">B69-B70</f>
        <v>-0.95</v>
      </c>
      <c r="C72" s="445">
        <f t="shared" si="6"/>
        <v>-1.72</v>
      </c>
      <c r="D72" s="445">
        <f t="shared" si="6"/>
        <v>-2.41</v>
      </c>
      <c r="E72" s="445">
        <f t="shared" si="6"/>
        <v>8.9999999999999858E-2</v>
      </c>
      <c r="F72" s="446">
        <f t="shared" si="6"/>
        <v>-3.16</v>
      </c>
      <c r="G72" s="445">
        <f t="shared" si="6"/>
        <v>-4.09</v>
      </c>
      <c r="H72" s="445">
        <f t="shared" si="6"/>
        <v>0.62</v>
      </c>
      <c r="I72" s="445">
        <f t="shared" si="6"/>
        <v>-1.96</v>
      </c>
      <c r="J72" s="445">
        <f t="shared" si="6"/>
        <v>0.55000000000000004</v>
      </c>
      <c r="K72" s="445">
        <f t="shared" si="6"/>
        <v>0.14999999999999991</v>
      </c>
      <c r="L72" s="445">
        <f t="shared" si="6"/>
        <v>-3.57</v>
      </c>
      <c r="M72" s="445">
        <f t="shared" si="6"/>
        <v>-1.03</v>
      </c>
      <c r="N72" s="459">
        <f t="shared" si="6"/>
        <v>-18.06914524645147</v>
      </c>
    </row>
    <row r="74" spans="1:14" ht="15" thickBot="1" x14ac:dyDescent="0.25"/>
    <row r="75" spans="1:14" ht="18" x14ac:dyDescent="0.25">
      <c r="A75" s="652" t="s">
        <v>220</v>
      </c>
      <c r="B75" s="653"/>
      <c r="C75" s="653"/>
      <c r="D75" s="653"/>
      <c r="E75" s="653"/>
      <c r="F75" s="653"/>
      <c r="G75" s="653"/>
      <c r="H75" s="653"/>
      <c r="I75" s="653"/>
      <c r="J75" s="653"/>
      <c r="K75" s="653"/>
      <c r="L75" s="653"/>
      <c r="M75" s="653"/>
      <c r="N75" s="654"/>
    </row>
    <row r="76" spans="1:14" ht="15" thickBot="1" x14ac:dyDescent="0.25">
      <c r="A76" s="649" t="s">
        <v>219</v>
      </c>
      <c r="B76" s="650"/>
      <c r="C76" s="650"/>
      <c r="D76" s="650"/>
      <c r="E76" s="650"/>
      <c r="F76" s="650"/>
      <c r="G76" s="650"/>
      <c r="H76" s="650"/>
      <c r="I76" s="650"/>
      <c r="J76" s="650"/>
      <c r="K76" s="650"/>
      <c r="L76" s="650"/>
      <c r="M76" s="650"/>
      <c r="N76" s="651"/>
    </row>
    <row r="77" spans="1:14" ht="15" thickBot="1" x14ac:dyDescent="0.25"/>
    <row r="78" spans="1:14" ht="15.75" thickBot="1" x14ac:dyDescent="0.25">
      <c r="A78" s="456" t="s">
        <v>212</v>
      </c>
      <c r="B78" s="455">
        <v>41640</v>
      </c>
      <c r="C78" s="455">
        <v>41671</v>
      </c>
      <c r="D78" s="455">
        <v>41699</v>
      </c>
      <c r="E78" s="455">
        <v>41730</v>
      </c>
      <c r="F78" s="455">
        <v>41760</v>
      </c>
      <c r="G78" s="455">
        <v>41791</v>
      </c>
      <c r="H78" s="455">
        <v>41821</v>
      </c>
      <c r="I78" s="455">
        <v>41852</v>
      </c>
      <c r="J78" s="455">
        <v>41883</v>
      </c>
      <c r="K78" s="455">
        <v>41913</v>
      </c>
      <c r="L78" s="455">
        <v>41944</v>
      </c>
      <c r="M78" s="455">
        <v>41974</v>
      </c>
      <c r="N78" s="452" t="s">
        <v>211</v>
      </c>
    </row>
    <row r="79" spans="1:14" ht="15.75" thickBot="1" x14ac:dyDescent="0.3">
      <c r="A79" s="451" t="s">
        <v>210</v>
      </c>
      <c r="B79" s="450">
        <v>-1.79</v>
      </c>
      <c r="C79" s="442">
        <v>2.1</v>
      </c>
      <c r="D79" s="442">
        <v>2.12</v>
      </c>
      <c r="E79" s="442">
        <v>1.61</v>
      </c>
      <c r="F79" s="442">
        <v>2.78</v>
      </c>
      <c r="G79" s="442">
        <v>0.98</v>
      </c>
      <c r="H79" s="442">
        <v>1.02</v>
      </c>
      <c r="I79" s="442">
        <v>4.4400000000000004</v>
      </c>
      <c r="J79" s="450">
        <v>-3.66</v>
      </c>
      <c r="K79" s="442">
        <v>1.44</v>
      </c>
      <c r="L79" s="442">
        <v>1.33</v>
      </c>
      <c r="M79" s="450">
        <v>-2.1</v>
      </c>
      <c r="N79" s="441">
        <f>((PRODUCT(1+B79/100,1+C79/100,1+D79/100,1+E79/100,1+F79/100,1+G79/100,1+H79/100,1+I79/100,1+J79/100,1+K79/100,1+L79/100,1+M79/100))-1)*100</f>
        <v>10.45453066683244</v>
      </c>
    </row>
    <row r="80" spans="1:14" ht="15.75" thickBot="1" x14ac:dyDescent="0.3">
      <c r="A80" s="443" t="s">
        <v>208</v>
      </c>
      <c r="B80" s="442">
        <v>1.1332</v>
      </c>
      <c r="C80" s="442">
        <v>1.1399999999999999</v>
      </c>
      <c r="D80" s="442">
        <v>1.32</v>
      </c>
      <c r="E80" s="442">
        <v>1.28</v>
      </c>
      <c r="F80" s="442">
        <v>1.1000000000000001</v>
      </c>
      <c r="G80" s="442">
        <v>0.76</v>
      </c>
      <c r="H80" s="442">
        <v>0.63</v>
      </c>
      <c r="I80" s="442">
        <v>0.68</v>
      </c>
      <c r="J80" s="442">
        <v>0.99</v>
      </c>
      <c r="K80" s="442">
        <v>0.88</v>
      </c>
      <c r="L80" s="442">
        <v>1.03</v>
      </c>
      <c r="M80" s="442">
        <v>1.1200000000000001</v>
      </c>
      <c r="N80" s="441">
        <f>((PRODUCT(1+B80/100,1+C80/100,1+D80/100,1+E80/100,1+F80/100,1+G80/100,1+H80/100,1+I80/100,1+J80/100,1+K80/100,1+L80/100,1+M80/100))-1)*100</f>
        <v>12.749967645240435</v>
      </c>
    </row>
    <row r="81" spans="1:14" ht="15.75" thickBot="1" x14ac:dyDescent="0.3">
      <c r="A81" s="443" t="s">
        <v>118</v>
      </c>
      <c r="B81" s="442">
        <v>0.84</v>
      </c>
      <c r="C81" s="442">
        <v>0.78</v>
      </c>
      <c r="D81" s="442">
        <v>0.76</v>
      </c>
      <c r="E81" s="442">
        <v>0.82</v>
      </c>
      <c r="F81" s="442">
        <v>0.86</v>
      </c>
      <c r="G81" s="442">
        <v>0.82</v>
      </c>
      <c r="H81" s="442">
        <v>0.94</v>
      </c>
      <c r="I81" s="442">
        <v>0.86</v>
      </c>
      <c r="J81" s="442">
        <v>0.9</v>
      </c>
      <c r="K81" s="442">
        <v>0.94</v>
      </c>
      <c r="L81" s="442">
        <v>0.84</v>
      </c>
      <c r="M81" s="442">
        <v>0.96</v>
      </c>
      <c r="N81" s="441">
        <f>((PRODUCT(1+B81/100,1+C81/100,1+D81/100,1+E81/100,1+F81/100,1+G81/100,1+H81/100,1+I81/100,1+J81/100,1+K81/100,1+L81/100,1+M81/100))-1)*100</f>
        <v>10.822159753339978</v>
      </c>
    </row>
    <row r="82" spans="1:14" s="476" customFormat="1" ht="15.75" thickBot="1" x14ac:dyDescent="0.3">
      <c r="A82" s="461" t="s">
        <v>209</v>
      </c>
      <c r="B82" s="459">
        <f t="shared" ref="B82:N82" si="7">B79-B80</f>
        <v>-2.9232</v>
      </c>
      <c r="C82" s="458">
        <f t="shared" si="7"/>
        <v>0.96000000000000019</v>
      </c>
      <c r="D82" s="458">
        <f t="shared" si="7"/>
        <v>0.8</v>
      </c>
      <c r="E82" s="458">
        <f t="shared" si="7"/>
        <v>0.33000000000000007</v>
      </c>
      <c r="F82" s="458">
        <f t="shared" si="7"/>
        <v>1.6799999999999997</v>
      </c>
      <c r="G82" s="478">
        <f t="shared" si="7"/>
        <v>0.21999999999999997</v>
      </c>
      <c r="H82" s="478">
        <f t="shared" si="7"/>
        <v>0.39</v>
      </c>
      <c r="I82" s="477">
        <f t="shared" si="7"/>
        <v>3.7600000000000002</v>
      </c>
      <c r="J82" s="459">
        <f t="shared" si="7"/>
        <v>-4.6500000000000004</v>
      </c>
      <c r="K82" s="459">
        <f t="shared" si="7"/>
        <v>0.55999999999999994</v>
      </c>
      <c r="L82" s="459">
        <f t="shared" si="7"/>
        <v>0.30000000000000004</v>
      </c>
      <c r="M82" s="459">
        <f t="shared" si="7"/>
        <v>-3.22</v>
      </c>
      <c r="N82" s="458">
        <f t="shared" si="7"/>
        <v>-2.2954369784079951</v>
      </c>
    </row>
    <row r="83" spans="1:14" ht="15" thickBot="1" x14ac:dyDescent="0.25"/>
    <row r="84" spans="1:14" ht="18" x14ac:dyDescent="0.25">
      <c r="A84" s="652" t="s">
        <v>214</v>
      </c>
      <c r="B84" s="653"/>
      <c r="C84" s="653"/>
      <c r="D84" s="653"/>
      <c r="E84" s="653"/>
      <c r="F84" s="653"/>
      <c r="G84" s="653"/>
      <c r="H84" s="653"/>
      <c r="I84" s="653"/>
      <c r="J84" s="653"/>
      <c r="K84" s="653"/>
      <c r="L84" s="653"/>
      <c r="M84" s="653"/>
      <c r="N84" s="654"/>
    </row>
    <row r="85" spans="1:14" ht="15" thickBot="1" x14ac:dyDescent="0.25">
      <c r="A85" s="649" t="s">
        <v>219</v>
      </c>
      <c r="B85" s="650"/>
      <c r="C85" s="650"/>
      <c r="D85" s="650"/>
      <c r="E85" s="650"/>
      <c r="F85" s="650"/>
      <c r="G85" s="650"/>
      <c r="H85" s="650"/>
      <c r="I85" s="650"/>
      <c r="J85" s="650"/>
      <c r="K85" s="650"/>
      <c r="L85" s="650"/>
      <c r="M85" s="650"/>
      <c r="N85" s="651"/>
    </row>
    <row r="86" spans="1:14" ht="16.5" thickBot="1" x14ac:dyDescent="0.25">
      <c r="A86" s="457"/>
      <c r="B86" s="457"/>
      <c r="C86" s="457"/>
      <c r="D86" s="457"/>
      <c r="E86" s="457"/>
      <c r="F86" s="457"/>
      <c r="G86" s="457"/>
      <c r="H86" s="457"/>
      <c r="I86" s="457"/>
      <c r="J86" s="457"/>
      <c r="K86" s="457"/>
      <c r="L86" s="457"/>
      <c r="M86" s="457"/>
      <c r="N86" s="457"/>
    </row>
    <row r="87" spans="1:14" ht="15.75" thickBot="1" x14ac:dyDescent="0.25">
      <c r="A87" s="456" t="s">
        <v>212</v>
      </c>
      <c r="B87" s="455">
        <v>41640</v>
      </c>
      <c r="C87" s="454">
        <v>41671</v>
      </c>
      <c r="D87" s="454">
        <v>41699</v>
      </c>
      <c r="E87" s="454">
        <v>41730</v>
      </c>
      <c r="F87" s="454">
        <v>41760</v>
      </c>
      <c r="G87" s="454">
        <v>41791</v>
      </c>
      <c r="H87" s="454">
        <v>41821</v>
      </c>
      <c r="I87" s="454">
        <v>41852</v>
      </c>
      <c r="J87" s="454">
        <v>41883</v>
      </c>
      <c r="K87" s="454">
        <v>41913</v>
      </c>
      <c r="L87" s="454">
        <v>41944</v>
      </c>
      <c r="M87" s="453">
        <v>41974</v>
      </c>
      <c r="N87" s="452" t="s">
        <v>211</v>
      </c>
    </row>
    <row r="88" spans="1:14" ht="15.75" thickBot="1" x14ac:dyDescent="0.3">
      <c r="A88" s="451" t="s">
        <v>210</v>
      </c>
      <c r="B88" s="450">
        <v>-1.79</v>
      </c>
      <c r="C88" s="442">
        <v>2.1</v>
      </c>
      <c r="D88" s="442">
        <v>2.12</v>
      </c>
      <c r="E88" s="442">
        <v>1.61</v>
      </c>
      <c r="F88" s="442">
        <v>2.78</v>
      </c>
      <c r="G88" s="442">
        <v>0.98</v>
      </c>
      <c r="H88" s="442">
        <v>1.02</v>
      </c>
      <c r="I88" s="442">
        <v>4.4400000000000004</v>
      </c>
      <c r="J88" s="450">
        <v>-3.66</v>
      </c>
      <c r="K88" s="442">
        <v>1.44</v>
      </c>
      <c r="L88" s="442">
        <v>1.33</v>
      </c>
      <c r="M88" s="450">
        <v>-2.1</v>
      </c>
      <c r="N88" s="441">
        <f>((PRODUCT(1+B88/100,1+C88/100,1+D88/100,1+E88/100,1+F88/100,1+G88/100,1+H88/100,1+I88/100,1+J88/100,1+K88/100,1+L88/100,1+M88/100))-1)*100</f>
        <v>10.45453066683244</v>
      </c>
    </row>
    <row r="89" spans="1:14" ht="15.75" thickBot="1" x14ac:dyDescent="0.3">
      <c r="A89" s="443" t="s">
        <v>208</v>
      </c>
      <c r="B89" s="442">
        <v>1.1332</v>
      </c>
      <c r="C89" s="442">
        <v>1.1399999999999999</v>
      </c>
      <c r="D89" s="442">
        <v>1.32</v>
      </c>
      <c r="E89" s="442">
        <v>1.28</v>
      </c>
      <c r="F89" s="442">
        <v>1.1000000000000001</v>
      </c>
      <c r="G89" s="442">
        <v>0.76</v>
      </c>
      <c r="H89" s="442">
        <v>0.63</v>
      </c>
      <c r="I89" s="442">
        <v>0.68</v>
      </c>
      <c r="J89" s="442">
        <v>0.99</v>
      </c>
      <c r="K89" s="442">
        <v>0.88</v>
      </c>
      <c r="L89" s="442">
        <v>1.04</v>
      </c>
      <c r="M89" s="442">
        <v>1.1200000000000001</v>
      </c>
      <c r="N89" s="441">
        <f>((PRODUCT(1+B89/100,1+C89/100,1+D89/100,1+E89/100,1+F89/100,1+G89/100,1+H89/100,1+I89/100,1+J89/100,1+K89/100,1+L89/100,1+M89/100))-1)*100</f>
        <v>12.761127693507813</v>
      </c>
    </row>
    <row r="90" spans="1:14" ht="15.75" thickBot="1" x14ac:dyDescent="0.3">
      <c r="A90" s="443" t="s">
        <v>118</v>
      </c>
      <c r="B90" s="442">
        <v>0.84</v>
      </c>
      <c r="C90" s="442">
        <v>0.78</v>
      </c>
      <c r="D90" s="442">
        <v>0.76</v>
      </c>
      <c r="E90" s="442">
        <v>0.82</v>
      </c>
      <c r="F90" s="442">
        <v>0.57999999999999996</v>
      </c>
      <c r="G90" s="442">
        <v>0.82</v>
      </c>
      <c r="H90" s="442">
        <v>0.94</v>
      </c>
      <c r="I90" s="442">
        <v>0.86</v>
      </c>
      <c r="J90" s="442">
        <v>0.9</v>
      </c>
      <c r="K90" s="442">
        <v>0.94</v>
      </c>
      <c r="L90" s="442">
        <v>0.84</v>
      </c>
      <c r="M90" s="442">
        <v>0.96</v>
      </c>
      <c r="N90" s="441">
        <f>((PRODUCT(1+B90/100,1+C90/100,1+D90/100,1+E90/100,1+F90/100,1+G90/100,1+H90/100,1+I90/100,1+J90/100,1+K90/100,1+L90/100,1+M90/100))-1)*100</f>
        <v>10.514503549384656</v>
      </c>
    </row>
    <row r="91" spans="1:14" ht="15.75" thickBot="1" x14ac:dyDescent="0.3">
      <c r="A91" s="449" t="s">
        <v>209</v>
      </c>
      <c r="B91" s="446">
        <f t="shared" ref="B91:N91" si="8">B88-B89</f>
        <v>-2.9232</v>
      </c>
      <c r="C91" s="445">
        <f t="shared" si="8"/>
        <v>0.96000000000000019</v>
      </c>
      <c r="D91" s="445">
        <f t="shared" si="8"/>
        <v>0.8</v>
      </c>
      <c r="E91" s="445">
        <f t="shared" si="8"/>
        <v>0.33000000000000007</v>
      </c>
      <c r="F91" s="445">
        <f t="shared" si="8"/>
        <v>1.6799999999999997</v>
      </c>
      <c r="G91" s="445">
        <f t="shared" si="8"/>
        <v>0.21999999999999997</v>
      </c>
      <c r="H91" s="445">
        <f t="shared" si="8"/>
        <v>0.39</v>
      </c>
      <c r="I91" s="475">
        <f t="shared" si="8"/>
        <v>3.7600000000000002</v>
      </c>
      <c r="J91" s="446">
        <f t="shared" si="8"/>
        <v>-4.6500000000000004</v>
      </c>
      <c r="K91" s="445">
        <f t="shared" si="8"/>
        <v>0.55999999999999994</v>
      </c>
      <c r="L91" s="445">
        <f t="shared" si="8"/>
        <v>0.29000000000000004</v>
      </c>
      <c r="M91" s="446">
        <f t="shared" si="8"/>
        <v>-3.22</v>
      </c>
      <c r="N91" s="458">
        <f t="shared" si="8"/>
        <v>-2.306597026675373</v>
      </c>
    </row>
    <row r="92" spans="1:14" ht="15" x14ac:dyDescent="0.25">
      <c r="A92" s="474"/>
      <c r="B92" s="471"/>
      <c r="C92" s="472"/>
      <c r="D92" s="472"/>
      <c r="E92" s="472"/>
      <c r="F92" s="472"/>
      <c r="G92" s="472"/>
      <c r="H92" s="472"/>
      <c r="I92" s="473"/>
      <c r="J92" s="471"/>
      <c r="K92" s="472"/>
      <c r="L92" s="472"/>
      <c r="M92" s="471"/>
      <c r="N92" s="470"/>
    </row>
    <row r="93" spans="1:14" ht="15" x14ac:dyDescent="0.25">
      <c r="A93" s="474"/>
      <c r="B93" s="471"/>
      <c r="C93" s="472"/>
      <c r="D93" s="472"/>
      <c r="E93" s="472"/>
      <c r="F93" s="472"/>
      <c r="G93" s="472"/>
      <c r="H93" s="472"/>
      <c r="I93" s="473"/>
      <c r="J93" s="471"/>
      <c r="K93" s="472"/>
      <c r="L93" s="472"/>
      <c r="M93" s="471"/>
      <c r="N93" s="470"/>
    </row>
    <row r="94" spans="1:14" ht="15.75" thickBot="1" x14ac:dyDescent="0.3">
      <c r="A94" s="474"/>
      <c r="B94" s="471"/>
      <c r="C94" s="472"/>
      <c r="D94" s="472"/>
      <c r="E94" s="472"/>
      <c r="F94" s="472"/>
      <c r="G94" s="472"/>
      <c r="H94" s="472"/>
      <c r="I94" s="473"/>
      <c r="J94" s="471"/>
      <c r="K94" s="472"/>
      <c r="L94" s="472"/>
      <c r="M94" s="471"/>
      <c r="N94" s="470"/>
    </row>
    <row r="95" spans="1:14" ht="18" x14ac:dyDescent="0.25">
      <c r="A95" s="652" t="s">
        <v>218</v>
      </c>
      <c r="B95" s="653"/>
      <c r="C95" s="653"/>
      <c r="D95" s="653"/>
      <c r="E95" s="653"/>
      <c r="F95" s="653"/>
      <c r="G95" s="653"/>
      <c r="H95" s="653"/>
      <c r="I95" s="653"/>
      <c r="J95" s="653"/>
      <c r="K95" s="653"/>
      <c r="L95" s="653"/>
      <c r="M95" s="653"/>
      <c r="N95" s="654"/>
    </row>
    <row r="96" spans="1:14" ht="15.75" thickBot="1" x14ac:dyDescent="0.25">
      <c r="A96" s="649" t="s">
        <v>215</v>
      </c>
      <c r="B96" s="650"/>
      <c r="C96" s="650"/>
      <c r="D96" s="650"/>
      <c r="E96" s="650"/>
      <c r="F96" s="650"/>
      <c r="G96" s="650"/>
      <c r="H96" s="650"/>
      <c r="I96" s="650"/>
      <c r="J96" s="650"/>
      <c r="K96" s="650"/>
      <c r="L96" s="650"/>
      <c r="M96" s="650"/>
      <c r="N96" s="651"/>
    </row>
    <row r="97" spans="1:14" ht="15" thickBot="1" x14ac:dyDescent="0.25"/>
    <row r="98" spans="1:14" ht="15.75" thickBot="1" x14ac:dyDescent="0.25">
      <c r="A98" s="456" t="s">
        <v>212</v>
      </c>
      <c r="B98" s="455">
        <v>42005</v>
      </c>
      <c r="C98" s="455">
        <v>42036</v>
      </c>
      <c r="D98" s="455">
        <v>42064</v>
      </c>
      <c r="E98" s="455">
        <v>42095</v>
      </c>
      <c r="F98" s="455">
        <v>42125</v>
      </c>
      <c r="G98" s="455">
        <v>42156</v>
      </c>
      <c r="H98" s="455">
        <v>42186</v>
      </c>
      <c r="I98" s="455">
        <v>42217</v>
      </c>
      <c r="J98" s="455">
        <v>42248</v>
      </c>
      <c r="K98" s="455">
        <v>42278</v>
      </c>
      <c r="L98" s="455">
        <v>42309</v>
      </c>
      <c r="M98" s="455">
        <v>42339</v>
      </c>
      <c r="N98" s="452" t="s">
        <v>211</v>
      </c>
    </row>
    <row r="99" spans="1:14" ht="15.75" thickBot="1" x14ac:dyDescent="0.3">
      <c r="A99" s="451" t="s">
        <v>210</v>
      </c>
      <c r="B99" s="442">
        <v>0.66</v>
      </c>
      <c r="C99" s="442">
        <v>1.93</v>
      </c>
      <c r="D99" s="442">
        <v>0.47</v>
      </c>
      <c r="E99" s="442">
        <v>1.92</v>
      </c>
      <c r="F99" s="442">
        <v>0.69</v>
      </c>
      <c r="G99" s="442">
        <v>0.56940000000000002</v>
      </c>
      <c r="H99" s="442">
        <v>0.45</v>
      </c>
      <c r="I99" s="450">
        <v>-1.94</v>
      </c>
      <c r="J99" s="450">
        <v>-0.04</v>
      </c>
      <c r="K99" s="442">
        <v>1.96</v>
      </c>
      <c r="L99" s="442">
        <v>0.5</v>
      </c>
      <c r="M99" s="442">
        <v>1.81</v>
      </c>
      <c r="N99" s="441">
        <f>((PRODUCT(1+B99/100,1+C99/100,1+D99/100,1+E99/100,1+F99/100,1+G99/100,1+H99/100,1+I99/100,1+J99/100,1+K99/100,1+L99/100,1+M99/100))-1)*100</f>
        <v>9.285204921005775</v>
      </c>
    </row>
    <row r="100" spans="1:14" ht="15.75" thickBot="1" x14ac:dyDescent="0.3">
      <c r="A100" s="443" t="s">
        <v>208</v>
      </c>
      <c r="B100" s="442">
        <v>1.98</v>
      </c>
      <c r="C100" s="442">
        <v>1.66</v>
      </c>
      <c r="D100" s="442">
        <v>2.0099999999999998</v>
      </c>
      <c r="E100" s="442">
        <v>1.21</v>
      </c>
      <c r="F100" s="442">
        <v>1.24</v>
      </c>
      <c r="G100" s="442">
        <v>1.29</v>
      </c>
      <c r="H100" s="442">
        <v>1.08</v>
      </c>
      <c r="I100" s="442">
        <v>0.75</v>
      </c>
      <c r="J100" s="442">
        <v>1.01</v>
      </c>
      <c r="K100" s="442">
        <v>1.27</v>
      </c>
      <c r="L100" s="442">
        <v>1.61</v>
      </c>
      <c r="M100" s="442">
        <v>1.4</v>
      </c>
      <c r="N100" s="441">
        <f>((PRODUCT(1+B100/100,1+C100/100,1+D100/100,1+E100/100,1+F100/100,1+G100/100,1+H100/100,1+I100/100,1+J100/100,1+K100/100,1+L100/100,1+M100/100))-1)*100</f>
        <v>17.809379493600819</v>
      </c>
    </row>
    <row r="101" spans="1:14" ht="15.75" thickBot="1" x14ac:dyDescent="0.3">
      <c r="A101" s="443" t="s">
        <v>118</v>
      </c>
      <c r="B101" s="442">
        <v>0.93</v>
      </c>
      <c r="C101" s="442">
        <v>0.82</v>
      </c>
      <c r="D101" s="442">
        <v>1.04</v>
      </c>
      <c r="E101" s="442">
        <v>0.95</v>
      </c>
      <c r="F101" s="442">
        <v>0.98</v>
      </c>
      <c r="G101" s="442">
        <v>1.07</v>
      </c>
      <c r="H101" s="442">
        <v>1.18</v>
      </c>
      <c r="I101" s="442">
        <v>1.1100000000000001</v>
      </c>
      <c r="J101" s="442">
        <v>1.1100000000000001</v>
      </c>
      <c r="K101" s="442">
        <v>1.1100000000000001</v>
      </c>
      <c r="L101" s="442">
        <v>1.06</v>
      </c>
      <c r="M101" s="442">
        <v>1.1599999999999999</v>
      </c>
      <c r="N101" s="441">
        <f>((PRODUCT(1+B101/100,1+C101/100,1+D101/100,1+E101/100,1+F101/100,1+G101/100,1+H101/100,1+I101/100,1+J101/100,1+K101/100,1+L101/100,1+M101/100))-1)*100</f>
        <v>13.263344108432683</v>
      </c>
    </row>
    <row r="102" spans="1:14" ht="15.75" thickBot="1" x14ac:dyDescent="0.3">
      <c r="A102" s="461" t="s">
        <v>209</v>
      </c>
      <c r="B102" s="459">
        <f t="shared" ref="B102:N102" si="9">B99-B100</f>
        <v>-1.3199999999999998</v>
      </c>
      <c r="C102" s="458">
        <f t="shared" si="9"/>
        <v>0.27</v>
      </c>
      <c r="D102" s="458">
        <f t="shared" si="9"/>
        <v>-1.5399999999999998</v>
      </c>
      <c r="E102" s="458">
        <f t="shared" si="9"/>
        <v>0.71</v>
      </c>
      <c r="F102" s="459">
        <f t="shared" si="9"/>
        <v>-0.55000000000000004</v>
      </c>
      <c r="G102" s="459">
        <f t="shared" si="9"/>
        <v>-0.72060000000000002</v>
      </c>
      <c r="H102" s="459">
        <f t="shared" si="9"/>
        <v>-0.63000000000000012</v>
      </c>
      <c r="I102" s="459">
        <f t="shared" si="9"/>
        <v>-2.69</v>
      </c>
      <c r="J102" s="459">
        <f t="shared" si="9"/>
        <v>-1.05</v>
      </c>
      <c r="K102" s="459">
        <f t="shared" si="9"/>
        <v>0.69</v>
      </c>
      <c r="L102" s="459">
        <f t="shared" si="9"/>
        <v>-1.1100000000000001</v>
      </c>
      <c r="M102" s="458">
        <f t="shared" si="9"/>
        <v>0.41000000000000014</v>
      </c>
      <c r="N102" s="459">
        <f t="shared" si="9"/>
        <v>-8.5241745725950437</v>
      </c>
    </row>
    <row r="103" spans="1:14" ht="15" thickBot="1" x14ac:dyDescent="0.25"/>
    <row r="104" spans="1:14" ht="18" x14ac:dyDescent="0.25">
      <c r="A104" s="652" t="s">
        <v>214</v>
      </c>
      <c r="B104" s="653"/>
      <c r="C104" s="653"/>
      <c r="D104" s="653"/>
      <c r="E104" s="653"/>
      <c r="F104" s="653"/>
      <c r="G104" s="653"/>
      <c r="H104" s="653"/>
      <c r="I104" s="653"/>
      <c r="J104" s="653"/>
      <c r="K104" s="653"/>
      <c r="L104" s="653"/>
      <c r="M104" s="653"/>
      <c r="N104" s="654"/>
    </row>
    <row r="105" spans="1:14" ht="15.75" thickBot="1" x14ac:dyDescent="0.25">
      <c r="A105" s="649" t="s">
        <v>213</v>
      </c>
      <c r="B105" s="650"/>
      <c r="C105" s="650"/>
      <c r="D105" s="650"/>
      <c r="E105" s="650"/>
      <c r="F105" s="650"/>
      <c r="G105" s="650"/>
      <c r="H105" s="650"/>
      <c r="I105" s="650"/>
      <c r="J105" s="650"/>
      <c r="K105" s="650"/>
      <c r="L105" s="650"/>
      <c r="M105" s="650"/>
      <c r="N105" s="651"/>
    </row>
    <row r="106" spans="1:14" ht="16.5" thickBot="1" x14ac:dyDescent="0.25">
      <c r="A106" s="457"/>
      <c r="B106" s="457"/>
      <c r="C106" s="457"/>
      <c r="D106" s="457"/>
      <c r="E106" s="457"/>
      <c r="F106" s="457"/>
      <c r="G106" s="457"/>
      <c r="H106" s="457"/>
      <c r="I106" s="457"/>
      <c r="J106" s="457"/>
      <c r="K106" s="457"/>
      <c r="L106" s="457"/>
      <c r="M106" s="457"/>
      <c r="N106" s="457"/>
    </row>
    <row r="107" spans="1:14" ht="15.75" thickBot="1" x14ac:dyDescent="0.25">
      <c r="A107" s="456" t="s">
        <v>212</v>
      </c>
      <c r="B107" s="455">
        <v>42005</v>
      </c>
      <c r="C107" s="454">
        <v>42036</v>
      </c>
      <c r="D107" s="454">
        <v>42064</v>
      </c>
      <c r="E107" s="454">
        <v>42095</v>
      </c>
      <c r="F107" s="454">
        <v>42125</v>
      </c>
      <c r="G107" s="454">
        <v>42156</v>
      </c>
      <c r="H107" s="454">
        <v>42186</v>
      </c>
      <c r="I107" s="454">
        <v>42217</v>
      </c>
      <c r="J107" s="454">
        <v>42248</v>
      </c>
      <c r="K107" s="454">
        <v>42278</v>
      </c>
      <c r="L107" s="454">
        <v>42309</v>
      </c>
      <c r="M107" s="453">
        <v>41974</v>
      </c>
      <c r="N107" s="452" t="s">
        <v>211</v>
      </c>
    </row>
    <row r="108" spans="1:14" ht="15.75" thickBot="1" x14ac:dyDescent="0.3">
      <c r="A108" s="451" t="s">
        <v>210</v>
      </c>
      <c r="B108" s="442">
        <v>0.66</v>
      </c>
      <c r="C108" s="442">
        <v>1.93</v>
      </c>
      <c r="D108" s="442">
        <v>0.47</v>
      </c>
      <c r="E108" s="442">
        <v>1.92</v>
      </c>
      <c r="F108" s="442">
        <v>0.69</v>
      </c>
      <c r="G108" s="442">
        <v>0.56940000000000002</v>
      </c>
      <c r="H108" s="442">
        <v>0.45</v>
      </c>
      <c r="I108" s="442">
        <v>-1.94</v>
      </c>
      <c r="J108" s="450">
        <v>-0.04</v>
      </c>
      <c r="K108" s="442">
        <v>1.96</v>
      </c>
      <c r="L108" s="442">
        <v>0.5</v>
      </c>
      <c r="M108" s="442">
        <v>1.81</v>
      </c>
      <c r="N108" s="441">
        <f>((PRODUCT(1+B108/100,1+C108/100,1+D108/100,1+E108/100,1+F108/100,1+G108/100,1+H108/100,1+I108/100,1+J108/100,1+K108/100,1+L108/100,1+M108/100))-1)*100</f>
        <v>9.285204921005775</v>
      </c>
    </row>
    <row r="109" spans="1:14" ht="15.75" thickBot="1" x14ac:dyDescent="0.3">
      <c r="A109" s="443" t="s">
        <v>208</v>
      </c>
      <c r="B109" s="442">
        <v>1.98</v>
      </c>
      <c r="C109" s="442">
        <v>1.66</v>
      </c>
      <c r="D109" s="442">
        <v>2.0099999999999998</v>
      </c>
      <c r="E109" s="442">
        <v>1.21</v>
      </c>
      <c r="F109" s="442">
        <v>1.24</v>
      </c>
      <c r="G109" s="442">
        <v>1.29</v>
      </c>
      <c r="H109" s="442">
        <v>1.08</v>
      </c>
      <c r="I109" s="442">
        <v>0.75</v>
      </c>
      <c r="J109" s="442">
        <v>1.01</v>
      </c>
      <c r="K109" s="442">
        <v>1.27</v>
      </c>
      <c r="L109" s="442">
        <v>1.61</v>
      </c>
      <c r="M109" s="442">
        <v>1.4</v>
      </c>
      <c r="N109" s="441">
        <f>((PRODUCT(1+B109/100,1+C109/100,1+D109/100,1+E109/100,1+F109/100,1+G109/100,1+H109/100,1+I109/100,1+J109/100,1+K109/100,1+L109/100,1+M109/100))-1)*100</f>
        <v>17.809379493600819</v>
      </c>
    </row>
    <row r="110" spans="1:14" ht="15.75" thickBot="1" x14ac:dyDescent="0.3">
      <c r="A110" s="443" t="s">
        <v>118</v>
      </c>
      <c r="B110" s="442">
        <v>0.93</v>
      </c>
      <c r="C110" s="442">
        <v>0.82</v>
      </c>
      <c r="D110" s="442">
        <v>1.04</v>
      </c>
      <c r="E110" s="442">
        <v>0.95</v>
      </c>
      <c r="F110" s="442">
        <v>0.98</v>
      </c>
      <c r="G110" s="442">
        <v>1.07</v>
      </c>
      <c r="H110" s="442">
        <v>1.18</v>
      </c>
      <c r="I110" s="442">
        <v>1.1100000000000001</v>
      </c>
      <c r="J110" s="442">
        <v>1.1100000000000001</v>
      </c>
      <c r="K110" s="442">
        <v>1.1100000000000001</v>
      </c>
      <c r="L110" s="442">
        <v>1.1100000000000001</v>
      </c>
      <c r="M110" s="442">
        <v>1.1599999999999999</v>
      </c>
      <c r="N110" s="441">
        <f>((PRODUCT(1+B110/100,1+C110/100,1+D110/100,1+E110/100,1+F110/100,1+G110/100,1+H110/100,1+I110/100,1+J110/100,1+K110/100,1+L110/100,1+M110/100))-1)*100</f>
        <v>13.319381781156036</v>
      </c>
    </row>
    <row r="111" spans="1:14" ht="15.75" thickBot="1" x14ac:dyDescent="0.3">
      <c r="A111" s="449" t="s">
        <v>209</v>
      </c>
      <c r="B111" s="446">
        <f t="shared" ref="B111:N111" si="10">B108-B109</f>
        <v>-1.3199999999999998</v>
      </c>
      <c r="C111" s="445">
        <f t="shared" si="10"/>
        <v>0.27</v>
      </c>
      <c r="D111" s="446">
        <f t="shared" si="10"/>
        <v>-1.5399999999999998</v>
      </c>
      <c r="E111" s="445">
        <f t="shared" si="10"/>
        <v>0.71</v>
      </c>
      <c r="F111" s="446">
        <f t="shared" si="10"/>
        <v>-0.55000000000000004</v>
      </c>
      <c r="G111" s="459">
        <f t="shared" si="10"/>
        <v>-0.72060000000000002</v>
      </c>
      <c r="H111" s="446">
        <f t="shared" si="10"/>
        <v>-0.63000000000000012</v>
      </c>
      <c r="I111" s="446">
        <f t="shared" si="10"/>
        <v>-2.69</v>
      </c>
      <c r="J111" s="446">
        <f t="shared" si="10"/>
        <v>-1.05</v>
      </c>
      <c r="K111" s="445">
        <f t="shared" si="10"/>
        <v>0.69</v>
      </c>
      <c r="L111" s="446">
        <f t="shared" si="10"/>
        <v>-1.1100000000000001</v>
      </c>
      <c r="M111" s="445">
        <f t="shared" si="10"/>
        <v>0.41000000000000014</v>
      </c>
      <c r="N111" s="459">
        <f t="shared" si="10"/>
        <v>-8.5241745725950437</v>
      </c>
    </row>
    <row r="112" spans="1:14" s="468" customFormat="1" ht="15" x14ac:dyDescent="0.25">
      <c r="A112" s="467"/>
      <c r="B112" s="464"/>
      <c r="C112" s="463"/>
      <c r="D112" s="464"/>
      <c r="E112" s="463"/>
      <c r="F112" s="464"/>
      <c r="G112" s="469"/>
      <c r="H112" s="464"/>
      <c r="I112" s="464"/>
      <c r="J112" s="464"/>
      <c r="K112" s="463"/>
      <c r="L112" s="464"/>
      <c r="M112" s="463"/>
      <c r="N112" s="469"/>
    </row>
    <row r="113" spans="1:14" s="468" customFormat="1" ht="15.75" thickBot="1" x14ac:dyDescent="0.3">
      <c r="A113" s="467"/>
      <c r="B113" s="464"/>
      <c r="C113" s="463"/>
      <c r="D113" s="464"/>
      <c r="E113" s="463"/>
      <c r="F113" s="464"/>
      <c r="G113" s="469"/>
      <c r="H113" s="464"/>
      <c r="I113" s="464"/>
      <c r="J113" s="464"/>
      <c r="K113" s="463"/>
      <c r="L113" s="464"/>
      <c r="M113" s="463"/>
      <c r="N113" s="469"/>
    </row>
    <row r="114" spans="1:14" ht="18" x14ac:dyDescent="0.25">
      <c r="A114" s="652" t="s">
        <v>217</v>
      </c>
      <c r="B114" s="653"/>
      <c r="C114" s="653"/>
      <c r="D114" s="653"/>
      <c r="E114" s="653"/>
      <c r="F114" s="653"/>
      <c r="G114" s="653"/>
      <c r="H114" s="653"/>
      <c r="I114" s="653"/>
      <c r="J114" s="653"/>
      <c r="K114" s="653"/>
      <c r="L114" s="653"/>
      <c r="M114" s="653"/>
      <c r="N114" s="654"/>
    </row>
    <row r="115" spans="1:14" ht="15.75" thickBot="1" x14ac:dyDescent="0.25">
      <c r="A115" s="649" t="s">
        <v>215</v>
      </c>
      <c r="B115" s="650"/>
      <c r="C115" s="650"/>
      <c r="D115" s="650"/>
      <c r="E115" s="650"/>
      <c r="F115" s="650"/>
      <c r="G115" s="650"/>
      <c r="H115" s="650"/>
      <c r="I115" s="650"/>
      <c r="J115" s="650"/>
      <c r="K115" s="650"/>
      <c r="L115" s="650"/>
      <c r="M115" s="650"/>
      <c r="N115" s="651"/>
    </row>
    <row r="116" spans="1:14" ht="15" thickBot="1" x14ac:dyDescent="0.25"/>
    <row r="117" spans="1:14" ht="15.75" thickBot="1" x14ac:dyDescent="0.25">
      <c r="A117" s="456" t="s">
        <v>212</v>
      </c>
      <c r="B117" s="455">
        <v>42370</v>
      </c>
      <c r="C117" s="455">
        <v>42401</v>
      </c>
      <c r="D117" s="455">
        <v>42430</v>
      </c>
      <c r="E117" s="455">
        <v>42461</v>
      </c>
      <c r="F117" s="455">
        <v>42491</v>
      </c>
      <c r="G117" s="455">
        <v>42522</v>
      </c>
      <c r="H117" s="455">
        <v>42552</v>
      </c>
      <c r="I117" s="455">
        <v>42583</v>
      </c>
      <c r="J117" s="455">
        <v>42614</v>
      </c>
      <c r="K117" s="455">
        <v>42644</v>
      </c>
      <c r="L117" s="455">
        <v>42675</v>
      </c>
      <c r="M117" s="455">
        <v>42705</v>
      </c>
      <c r="N117" s="452" t="s">
        <v>211</v>
      </c>
    </row>
    <row r="118" spans="1:14" ht="15.75" thickBot="1" x14ac:dyDescent="0.3">
      <c r="A118" s="451" t="s">
        <v>210</v>
      </c>
      <c r="B118" s="442">
        <v>1.33</v>
      </c>
      <c r="C118" s="442">
        <v>1.91</v>
      </c>
      <c r="D118" s="442">
        <v>3.45</v>
      </c>
      <c r="E118" s="442">
        <v>2.75</v>
      </c>
      <c r="F118" s="450">
        <v>-0.75</v>
      </c>
      <c r="G118" s="442">
        <v>1.56</v>
      </c>
      <c r="H118" s="442">
        <v>2.81</v>
      </c>
      <c r="I118" s="442">
        <v>1.04</v>
      </c>
      <c r="J118" s="442">
        <v>1.46</v>
      </c>
      <c r="K118" s="442">
        <v>2.29</v>
      </c>
      <c r="L118" s="450">
        <v>-1.37</v>
      </c>
      <c r="M118" s="442">
        <v>2.35</v>
      </c>
      <c r="N118" s="441">
        <f>((PRODUCT(1+B118/100,1+C118/100,1+D118/100,1+E118/100,1+F118/100,1+G118/100,1+H118/100,1+I118/100,1+J118/100,1+K118/100,1+L118/100,1+M118/100))-1)*100</f>
        <v>20.413170289760394</v>
      </c>
    </row>
    <row r="119" spans="1:14" ht="15.75" thickBot="1" x14ac:dyDescent="0.3">
      <c r="A119" s="443" t="s">
        <v>208</v>
      </c>
      <c r="B119" s="442">
        <v>2</v>
      </c>
      <c r="C119" s="442">
        <v>1.44</v>
      </c>
      <c r="D119" s="442">
        <v>0.93</v>
      </c>
      <c r="E119" s="442">
        <v>1.1299999999999999</v>
      </c>
      <c r="F119" s="442">
        <v>1.47</v>
      </c>
      <c r="G119" s="442">
        <v>0.97</v>
      </c>
      <c r="H119" s="442">
        <v>1.1299999999999999</v>
      </c>
      <c r="I119" s="442">
        <v>0.81</v>
      </c>
      <c r="J119" s="442">
        <v>0.56999999999999995</v>
      </c>
      <c r="K119" s="442">
        <v>0.66</v>
      </c>
      <c r="L119" s="442">
        <v>0.56000000000000005</v>
      </c>
      <c r="M119" s="442">
        <v>0.63</v>
      </c>
      <c r="N119" s="441">
        <f>((PRODUCT(1+B119/100,1+C119/100,1+D119/100,1+E119/100,1+F119/100,1+G119/100,1+H119/100,1+I119/100,1+J119/100,1+K119/100,1+L119/100,1+M119/100))-1)*100</f>
        <v>13.005984963440431</v>
      </c>
    </row>
    <row r="120" spans="1:14" ht="15.75" thickBot="1" x14ac:dyDescent="0.3">
      <c r="A120" s="443" t="s">
        <v>118</v>
      </c>
      <c r="B120" s="442">
        <v>1.05</v>
      </c>
      <c r="C120" s="442">
        <v>1</v>
      </c>
      <c r="D120" s="442">
        <v>1.1599999999999999</v>
      </c>
      <c r="E120" s="442">
        <v>1.05</v>
      </c>
      <c r="F120" s="442">
        <v>1.1100000000000001</v>
      </c>
      <c r="G120" s="442">
        <v>1.1599999999999999</v>
      </c>
      <c r="H120" s="442">
        <v>1.1100000000000001</v>
      </c>
      <c r="I120" s="442">
        <v>1.21</v>
      </c>
      <c r="J120" s="442">
        <v>1.1100000000000001</v>
      </c>
      <c r="K120" s="442">
        <v>1.05</v>
      </c>
      <c r="L120" s="442">
        <v>1.04</v>
      </c>
      <c r="M120" s="442">
        <v>1.1200000000000001</v>
      </c>
      <c r="N120" s="441">
        <f>((PRODUCT(1+B120/100,1+C120/100,1+D120/100,1+E120/100,1+F120/100,1+G120/100,1+H120/100,1+I120/100,1+J120/100,1+K120/100,1+L120/100,1+M120/100))-1)*100</f>
        <v>13.994559101556604</v>
      </c>
    </row>
    <row r="121" spans="1:14" ht="15.75" thickBot="1" x14ac:dyDescent="0.3">
      <c r="A121" s="461" t="s">
        <v>209</v>
      </c>
      <c r="B121" s="459">
        <f t="shared" ref="B121:N121" si="11">B118-B119</f>
        <v>-0.66999999999999993</v>
      </c>
      <c r="C121" s="458">
        <f t="shared" si="11"/>
        <v>0.47</v>
      </c>
      <c r="D121" s="458">
        <f t="shared" si="11"/>
        <v>2.52</v>
      </c>
      <c r="E121" s="458">
        <f t="shared" si="11"/>
        <v>1.62</v>
      </c>
      <c r="F121" s="459">
        <f t="shared" si="11"/>
        <v>-2.2199999999999998</v>
      </c>
      <c r="G121" s="444">
        <f t="shared" si="11"/>
        <v>0.59000000000000008</v>
      </c>
      <c r="H121" s="460">
        <f t="shared" si="11"/>
        <v>1.6800000000000002</v>
      </c>
      <c r="I121" s="460">
        <f t="shared" si="11"/>
        <v>0.22999999999999998</v>
      </c>
      <c r="J121" s="460">
        <f t="shared" si="11"/>
        <v>0.89</v>
      </c>
      <c r="K121" s="460">
        <f t="shared" si="11"/>
        <v>1.63</v>
      </c>
      <c r="L121" s="459">
        <f t="shared" si="11"/>
        <v>-1.9300000000000002</v>
      </c>
      <c r="M121" s="458">
        <f t="shared" si="11"/>
        <v>1.7200000000000002</v>
      </c>
      <c r="N121" s="444">
        <f t="shared" si="11"/>
        <v>7.4071853263199632</v>
      </c>
    </row>
    <row r="122" spans="1:14" ht="15" thickBot="1" x14ac:dyDescent="0.25"/>
    <row r="123" spans="1:14" ht="18" x14ac:dyDescent="0.25">
      <c r="A123" s="652" t="s">
        <v>214</v>
      </c>
      <c r="B123" s="653"/>
      <c r="C123" s="653"/>
      <c r="D123" s="653"/>
      <c r="E123" s="653"/>
      <c r="F123" s="653"/>
      <c r="G123" s="653"/>
      <c r="H123" s="653"/>
      <c r="I123" s="653"/>
      <c r="J123" s="653"/>
      <c r="K123" s="653"/>
      <c r="L123" s="653"/>
      <c r="M123" s="653"/>
      <c r="N123" s="654"/>
    </row>
    <row r="124" spans="1:14" ht="15.75" thickBot="1" x14ac:dyDescent="0.25">
      <c r="A124" s="649" t="s">
        <v>213</v>
      </c>
      <c r="B124" s="650"/>
      <c r="C124" s="650"/>
      <c r="D124" s="650"/>
      <c r="E124" s="650"/>
      <c r="F124" s="650"/>
      <c r="G124" s="650"/>
      <c r="H124" s="650"/>
      <c r="I124" s="650"/>
      <c r="J124" s="650"/>
      <c r="K124" s="650"/>
      <c r="L124" s="650"/>
      <c r="M124" s="650"/>
      <c r="N124" s="651"/>
    </row>
    <row r="125" spans="1:14" ht="16.5" thickBot="1" x14ac:dyDescent="0.25">
      <c r="A125" s="457"/>
      <c r="B125" s="457"/>
      <c r="C125" s="457"/>
      <c r="D125" s="457"/>
      <c r="E125" s="457"/>
      <c r="F125" s="457"/>
      <c r="G125" s="457"/>
      <c r="H125" s="457"/>
      <c r="I125" s="457"/>
      <c r="J125" s="457"/>
      <c r="K125" s="457"/>
      <c r="L125" s="457"/>
      <c r="M125" s="457"/>
      <c r="N125" s="457"/>
    </row>
    <row r="126" spans="1:14" ht="15.75" thickBot="1" x14ac:dyDescent="0.25">
      <c r="A126" s="456" t="s">
        <v>212</v>
      </c>
      <c r="B126" s="455">
        <v>42370</v>
      </c>
      <c r="C126" s="454">
        <v>42401</v>
      </c>
      <c r="D126" s="454">
        <v>42430</v>
      </c>
      <c r="E126" s="454">
        <v>42461</v>
      </c>
      <c r="F126" s="454">
        <v>42491</v>
      </c>
      <c r="G126" s="454">
        <v>42522</v>
      </c>
      <c r="H126" s="454">
        <v>42552</v>
      </c>
      <c r="I126" s="454">
        <v>42583</v>
      </c>
      <c r="J126" s="454">
        <v>42614</v>
      </c>
      <c r="K126" s="454">
        <v>42644</v>
      </c>
      <c r="L126" s="454">
        <v>42675</v>
      </c>
      <c r="M126" s="453">
        <v>42705</v>
      </c>
      <c r="N126" s="452" t="s">
        <v>211</v>
      </c>
    </row>
    <row r="127" spans="1:14" ht="15.75" thickBot="1" x14ac:dyDescent="0.3">
      <c r="A127" s="451" t="s">
        <v>210</v>
      </c>
      <c r="B127" s="442">
        <v>1.33</v>
      </c>
      <c r="C127" s="442">
        <v>1.91</v>
      </c>
      <c r="D127" s="442">
        <v>3.45</v>
      </c>
      <c r="E127" s="442">
        <v>2.75</v>
      </c>
      <c r="F127" s="450">
        <v>-0.75</v>
      </c>
      <c r="G127" s="442">
        <v>1.56</v>
      </c>
      <c r="H127" s="442">
        <v>2.81</v>
      </c>
      <c r="I127" s="442">
        <v>1.04</v>
      </c>
      <c r="J127" s="442">
        <v>1.46</v>
      </c>
      <c r="K127" s="442">
        <v>2.29</v>
      </c>
      <c r="L127" s="450">
        <v>-1.37</v>
      </c>
      <c r="M127" s="442">
        <v>2.35</v>
      </c>
      <c r="N127" s="441">
        <f>((PRODUCT(1+B127/100,1+C127/100,1+D127/100,1+E127/100,1+F127/100,1+G127/100,1+H127/100,1+I127/100,1+J127/100,1+K127/100,1+L127/100,1+M127/100))-1)*100</f>
        <v>20.413170289760394</v>
      </c>
    </row>
    <row r="128" spans="1:14" ht="15.75" thickBot="1" x14ac:dyDescent="0.3">
      <c r="A128" s="443" t="s">
        <v>208</v>
      </c>
      <c r="B128" s="442">
        <v>2</v>
      </c>
      <c r="C128" s="442">
        <v>1.44</v>
      </c>
      <c r="D128" s="442">
        <v>0.93</v>
      </c>
      <c r="E128" s="442">
        <v>1.1299999999999999</v>
      </c>
      <c r="F128" s="442">
        <v>1.47</v>
      </c>
      <c r="G128" s="442">
        <v>0.97</v>
      </c>
      <c r="H128" s="442">
        <v>1.1299999999999999</v>
      </c>
      <c r="I128" s="442">
        <v>0.81</v>
      </c>
      <c r="J128" s="442">
        <v>0.56999999999999995</v>
      </c>
      <c r="K128" s="442">
        <v>0.66</v>
      </c>
      <c r="L128" s="442">
        <v>0.56000000000000005</v>
      </c>
      <c r="M128" s="442">
        <v>0.63</v>
      </c>
      <c r="N128" s="441">
        <f>((PRODUCT(1+B128/100,1+C128/100,1+D128/100,1+E128/100,1+F128/100,1+G128/100,1+H128/100,1+I128/100,1+J128/100,1+K128/100,1+L128/100,1+M128/100))-1)*100</f>
        <v>13.005984963440431</v>
      </c>
    </row>
    <row r="129" spans="1:14" ht="15.75" thickBot="1" x14ac:dyDescent="0.3">
      <c r="A129" s="443" t="s">
        <v>118</v>
      </c>
      <c r="B129" s="442">
        <v>1.05</v>
      </c>
      <c r="C129" s="442">
        <v>1</v>
      </c>
      <c r="D129" s="442">
        <v>1.1599999999999999</v>
      </c>
      <c r="E129" s="442">
        <v>1.05</v>
      </c>
      <c r="F129" s="442">
        <v>1.1100000000000001</v>
      </c>
      <c r="G129" s="442">
        <v>1.1599999999999999</v>
      </c>
      <c r="H129" s="442">
        <v>1.1100000000000001</v>
      </c>
      <c r="I129" s="442">
        <v>1.21</v>
      </c>
      <c r="J129" s="442">
        <v>1.1100000000000001</v>
      </c>
      <c r="K129" s="442">
        <v>1.05</v>
      </c>
      <c r="L129" s="442">
        <v>1.04</v>
      </c>
      <c r="M129" s="442">
        <v>1.1599999999999999</v>
      </c>
      <c r="N129" s="441">
        <f>((PRODUCT(1+B129/100,1+C129/100,1+D129/100,1+E129/100,1+F129/100,1+G129/100,1+H129/100,1+I129/100,1+J129/100,1+K129/100,1+L129/100,1+M129/100))-1)*100</f>
        <v>14.039651886011328</v>
      </c>
    </row>
    <row r="130" spans="1:14" ht="15.75" thickBot="1" x14ac:dyDescent="0.3">
      <c r="A130" s="449" t="s">
        <v>209</v>
      </c>
      <c r="B130" s="446">
        <f t="shared" ref="B130:N130" si="12">B127-B128</f>
        <v>-0.66999999999999993</v>
      </c>
      <c r="C130" s="445">
        <f t="shared" si="12"/>
        <v>0.47</v>
      </c>
      <c r="D130" s="448">
        <f t="shared" si="12"/>
        <v>2.52</v>
      </c>
      <c r="E130" s="445">
        <f t="shared" si="12"/>
        <v>1.62</v>
      </c>
      <c r="F130" s="446">
        <f t="shared" si="12"/>
        <v>-2.2199999999999998</v>
      </c>
      <c r="G130" s="444">
        <f t="shared" si="12"/>
        <v>0.59000000000000008</v>
      </c>
      <c r="H130" s="447">
        <f t="shared" si="12"/>
        <v>1.6800000000000002</v>
      </c>
      <c r="I130" s="447">
        <f t="shared" si="12"/>
        <v>0.22999999999999998</v>
      </c>
      <c r="J130" s="447">
        <f t="shared" si="12"/>
        <v>0.89</v>
      </c>
      <c r="K130" s="447">
        <f t="shared" si="12"/>
        <v>1.63</v>
      </c>
      <c r="L130" s="446">
        <f t="shared" si="12"/>
        <v>-1.9300000000000002</v>
      </c>
      <c r="M130" s="445">
        <f t="shared" si="12"/>
        <v>1.7200000000000002</v>
      </c>
      <c r="N130" s="444">
        <f t="shared" si="12"/>
        <v>7.4071853263199632</v>
      </c>
    </row>
    <row r="131" spans="1:14" ht="15" x14ac:dyDescent="0.25">
      <c r="A131" s="467"/>
      <c r="B131" s="464"/>
      <c r="C131" s="463"/>
      <c r="D131" s="466"/>
      <c r="E131" s="463"/>
      <c r="F131" s="464"/>
      <c r="G131" s="462"/>
      <c r="H131" s="465"/>
      <c r="I131" s="465"/>
      <c r="J131" s="465"/>
      <c r="K131" s="465"/>
      <c r="L131" s="464"/>
      <c r="M131" s="463"/>
      <c r="N131" s="462"/>
    </row>
    <row r="132" spans="1:14" ht="15" x14ac:dyDescent="0.25">
      <c r="A132" s="467"/>
      <c r="B132" s="464"/>
      <c r="C132" s="463"/>
      <c r="D132" s="466"/>
      <c r="E132" s="463"/>
      <c r="F132" s="464"/>
      <c r="G132" s="462"/>
      <c r="H132" s="465"/>
      <c r="I132" s="465"/>
      <c r="J132" s="465"/>
      <c r="K132" s="465"/>
      <c r="L132" s="464"/>
      <c r="M132" s="463"/>
      <c r="N132" s="462"/>
    </row>
    <row r="133" spans="1:14" ht="15.75" thickBot="1" x14ac:dyDescent="0.3">
      <c r="A133" s="467"/>
      <c r="B133" s="464"/>
      <c r="C133" s="463"/>
      <c r="D133" s="466"/>
      <c r="E133" s="463"/>
      <c r="F133" s="464"/>
      <c r="G133" s="462"/>
      <c r="H133" s="465"/>
      <c r="I133" s="465"/>
      <c r="J133" s="465"/>
      <c r="K133" s="465"/>
      <c r="L133" s="464"/>
      <c r="M133" s="463"/>
      <c r="N133" s="462"/>
    </row>
    <row r="134" spans="1:14" ht="18" x14ac:dyDescent="0.25">
      <c r="A134" s="652" t="s">
        <v>216</v>
      </c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  <c r="L134" s="653"/>
      <c r="M134" s="653"/>
      <c r="N134" s="654"/>
    </row>
    <row r="135" spans="1:14" ht="15.75" thickBot="1" x14ac:dyDescent="0.25">
      <c r="A135" s="649" t="s">
        <v>215</v>
      </c>
      <c r="B135" s="650"/>
      <c r="C135" s="650"/>
      <c r="D135" s="650"/>
      <c r="E135" s="650"/>
      <c r="F135" s="650"/>
      <c r="G135" s="650"/>
      <c r="H135" s="650"/>
      <c r="I135" s="650"/>
      <c r="J135" s="650"/>
      <c r="K135" s="650"/>
      <c r="L135" s="650"/>
      <c r="M135" s="650"/>
      <c r="N135" s="651"/>
    </row>
    <row r="136" spans="1:14" ht="15" thickBot="1" x14ac:dyDescent="0.25"/>
    <row r="137" spans="1:14" ht="15.75" thickBot="1" x14ac:dyDescent="0.25">
      <c r="A137" s="456" t="s">
        <v>212</v>
      </c>
      <c r="B137" s="455">
        <v>42736</v>
      </c>
      <c r="C137" s="455">
        <v>42767</v>
      </c>
      <c r="D137" s="455">
        <v>42795</v>
      </c>
      <c r="E137" s="455">
        <v>42826</v>
      </c>
      <c r="F137" s="455">
        <v>42856</v>
      </c>
      <c r="G137" s="455">
        <v>42887</v>
      </c>
      <c r="H137" s="455">
        <v>42917</v>
      </c>
      <c r="I137" s="455">
        <v>42948</v>
      </c>
      <c r="J137" s="455">
        <v>42979</v>
      </c>
      <c r="K137" s="455">
        <v>43009</v>
      </c>
      <c r="L137" s="455">
        <v>43040</v>
      </c>
      <c r="M137" s="455">
        <v>43070</v>
      </c>
      <c r="N137" s="452" t="s">
        <v>211</v>
      </c>
    </row>
    <row r="138" spans="1:14" ht="15.75" thickBot="1" x14ac:dyDescent="0.3">
      <c r="A138" s="451" t="s">
        <v>210</v>
      </c>
      <c r="B138" s="442">
        <v>2.38</v>
      </c>
      <c r="C138" s="442">
        <v>2.71</v>
      </c>
      <c r="D138" s="442">
        <v>0.62</v>
      </c>
      <c r="E138" s="442">
        <v>0.22</v>
      </c>
      <c r="F138" s="450">
        <v>-0.95</v>
      </c>
      <c r="G138" s="442">
        <v>0.52</v>
      </c>
      <c r="H138" s="442">
        <v>4.51</v>
      </c>
      <c r="I138" s="442">
        <v>2.0299999999999998</v>
      </c>
      <c r="J138" s="442">
        <v>2.2400000000000002</v>
      </c>
      <c r="K138" s="450">
        <v>-0.09</v>
      </c>
      <c r="L138" s="450">
        <v>-1</v>
      </c>
      <c r="M138" s="442">
        <v>1.64</v>
      </c>
      <c r="N138" s="441">
        <f>((PRODUCT(1+B138/100,1+C138/100,1+D138/100,1+E138/100,1+F138/100,1+G138/100,1+H138/100,1+I138/100,1+J138/100,1+K138/100,1+L138/100,1+M138/100))-1)*100</f>
        <v>15.714800458397193</v>
      </c>
    </row>
    <row r="139" spans="1:14" ht="15.75" thickBot="1" x14ac:dyDescent="0.3">
      <c r="A139" s="443" t="s">
        <v>208</v>
      </c>
      <c r="B139" s="442">
        <v>0.93</v>
      </c>
      <c r="C139" s="442">
        <v>0.66</v>
      </c>
      <c r="D139" s="442">
        <v>0.85</v>
      </c>
      <c r="E139" s="442">
        <v>0.5</v>
      </c>
      <c r="F139" s="442">
        <v>0.87</v>
      </c>
      <c r="G139" s="442">
        <v>0.19</v>
      </c>
      <c r="H139" s="442">
        <v>0.66</v>
      </c>
      <c r="I139" s="442">
        <v>0.5</v>
      </c>
      <c r="J139" s="442">
        <v>0.44</v>
      </c>
      <c r="K139" s="442">
        <v>0.86</v>
      </c>
      <c r="L139" s="442">
        <v>0.64</v>
      </c>
      <c r="M139" s="442">
        <v>0.75</v>
      </c>
      <c r="N139" s="441">
        <f>((PRODUCT(1+B139/100,1+C139/100,1+D139/100,1+E139/100,1+F139/100,1+G139/100,1+H139/100,1+I139/100,1+J139/100,1+K139/100,1+L139/100,1+M139/100))-1)*100</f>
        <v>8.1359001202240258</v>
      </c>
    </row>
    <row r="140" spans="1:14" ht="15.75" thickBot="1" x14ac:dyDescent="0.3">
      <c r="A140" s="443" t="s">
        <v>118</v>
      </c>
      <c r="B140" s="442">
        <v>1.08</v>
      </c>
      <c r="C140" s="442">
        <v>0.86</v>
      </c>
      <c r="D140" s="442">
        <v>1.05</v>
      </c>
      <c r="E140" s="442">
        <v>0.79</v>
      </c>
      <c r="F140" s="442">
        <v>0.93</v>
      </c>
      <c r="G140" s="442">
        <v>0.81</v>
      </c>
      <c r="H140" s="442">
        <v>0.81</v>
      </c>
      <c r="I140" s="442">
        <v>0.8</v>
      </c>
      <c r="J140" s="442">
        <v>0.64</v>
      </c>
      <c r="K140" s="442">
        <v>0.64</v>
      </c>
      <c r="L140" s="442">
        <v>0.56999999999999995</v>
      </c>
      <c r="M140" s="442">
        <v>0.54</v>
      </c>
      <c r="N140" s="441">
        <f>((PRODUCT(1+B140/100,1+C140/100,1+D140/100,1+E140/100,1+F140/100,1+G140/100,1+H140/100,1+I140/100,1+J140/100,1+K140/100,1+L140/100,1+M140/100))-1)*100</f>
        <v>9.9447717995015275</v>
      </c>
    </row>
    <row r="141" spans="1:14" ht="15.75" thickBot="1" x14ac:dyDescent="0.3">
      <c r="A141" s="461" t="s">
        <v>209</v>
      </c>
      <c r="B141" s="444">
        <f t="shared" ref="B141:N141" si="13">B138-B139</f>
        <v>1.4499999999999997</v>
      </c>
      <c r="C141" s="458">
        <f t="shared" si="13"/>
        <v>2.0499999999999998</v>
      </c>
      <c r="D141" s="458">
        <f t="shared" si="13"/>
        <v>-0.22999999999999998</v>
      </c>
      <c r="E141" s="458">
        <f t="shared" si="13"/>
        <v>-0.28000000000000003</v>
      </c>
      <c r="F141" s="459">
        <f t="shared" si="13"/>
        <v>-1.8199999999999998</v>
      </c>
      <c r="G141" s="444">
        <f t="shared" si="13"/>
        <v>0.33</v>
      </c>
      <c r="H141" s="460">
        <f t="shared" si="13"/>
        <v>3.8499999999999996</v>
      </c>
      <c r="I141" s="460">
        <f t="shared" si="13"/>
        <v>1.5299999999999998</v>
      </c>
      <c r="J141" s="460">
        <f t="shared" si="13"/>
        <v>1.8000000000000003</v>
      </c>
      <c r="K141" s="460">
        <f t="shared" si="13"/>
        <v>-0.95</v>
      </c>
      <c r="L141" s="459">
        <f t="shared" si="13"/>
        <v>-1.6400000000000001</v>
      </c>
      <c r="M141" s="458">
        <f t="shared" si="13"/>
        <v>0.8899999999999999</v>
      </c>
      <c r="N141" s="444">
        <f t="shared" si="13"/>
        <v>7.5789003381731668</v>
      </c>
    </row>
    <row r="142" spans="1:14" ht="15" thickBot="1" x14ac:dyDescent="0.25"/>
    <row r="143" spans="1:14" ht="18" x14ac:dyDescent="0.25">
      <c r="A143" s="652" t="s">
        <v>214</v>
      </c>
      <c r="B143" s="653"/>
      <c r="C143" s="653"/>
      <c r="D143" s="653"/>
      <c r="E143" s="653"/>
      <c r="F143" s="653"/>
      <c r="G143" s="653"/>
      <c r="H143" s="653"/>
      <c r="I143" s="653"/>
      <c r="J143" s="653"/>
      <c r="K143" s="653"/>
      <c r="L143" s="653"/>
      <c r="M143" s="653"/>
      <c r="N143" s="654"/>
    </row>
    <row r="144" spans="1:14" ht="15.75" thickBot="1" x14ac:dyDescent="0.25">
      <c r="A144" s="649" t="s">
        <v>213</v>
      </c>
      <c r="B144" s="650"/>
      <c r="C144" s="650"/>
      <c r="D144" s="650"/>
      <c r="E144" s="650"/>
      <c r="F144" s="650"/>
      <c r="G144" s="650"/>
      <c r="H144" s="650"/>
      <c r="I144" s="650"/>
      <c r="J144" s="650"/>
      <c r="K144" s="650"/>
      <c r="L144" s="650"/>
      <c r="M144" s="650"/>
      <c r="N144" s="651"/>
    </row>
    <row r="145" spans="1:14" ht="16.5" thickBot="1" x14ac:dyDescent="0.25">
      <c r="A145" s="457"/>
      <c r="B145" s="457"/>
      <c r="C145" s="457"/>
      <c r="D145" s="457"/>
      <c r="E145" s="457"/>
      <c r="F145" s="457"/>
      <c r="G145" s="457"/>
      <c r="H145" s="457"/>
      <c r="I145" s="457"/>
      <c r="J145" s="457"/>
      <c r="K145" s="457"/>
      <c r="L145" s="457"/>
      <c r="M145" s="457"/>
      <c r="N145" s="457"/>
    </row>
    <row r="146" spans="1:14" ht="15.75" thickBot="1" x14ac:dyDescent="0.25">
      <c r="A146" s="456" t="s">
        <v>212</v>
      </c>
      <c r="B146" s="455">
        <v>42736</v>
      </c>
      <c r="C146" s="454">
        <v>42767</v>
      </c>
      <c r="D146" s="454">
        <v>42795</v>
      </c>
      <c r="E146" s="454">
        <v>42826</v>
      </c>
      <c r="F146" s="454">
        <v>42856</v>
      </c>
      <c r="G146" s="454">
        <v>42887</v>
      </c>
      <c r="H146" s="454">
        <v>42917</v>
      </c>
      <c r="I146" s="454">
        <v>42948</v>
      </c>
      <c r="J146" s="454">
        <v>42979</v>
      </c>
      <c r="K146" s="454">
        <v>43009</v>
      </c>
      <c r="L146" s="454">
        <v>43040</v>
      </c>
      <c r="M146" s="453">
        <v>43070</v>
      </c>
      <c r="N146" s="452" t="s">
        <v>211</v>
      </c>
    </row>
    <row r="147" spans="1:14" ht="15.75" thickBot="1" x14ac:dyDescent="0.3">
      <c r="A147" s="451" t="s">
        <v>210</v>
      </c>
      <c r="B147" s="442">
        <v>2.38</v>
      </c>
      <c r="C147" s="442">
        <v>2.71</v>
      </c>
      <c r="D147" s="442">
        <v>0.62</v>
      </c>
      <c r="E147" s="442">
        <v>0.22</v>
      </c>
      <c r="F147" s="450">
        <v>-0.95</v>
      </c>
      <c r="G147" s="442">
        <v>0.52</v>
      </c>
      <c r="H147" s="442">
        <v>4.51</v>
      </c>
      <c r="I147" s="442">
        <v>2.0299999999999998</v>
      </c>
      <c r="J147" s="442">
        <v>2.2400000000000002</v>
      </c>
      <c r="K147" s="450">
        <v>-0.09</v>
      </c>
      <c r="L147" s="450">
        <v>-1</v>
      </c>
      <c r="M147" s="442">
        <v>1.64</v>
      </c>
      <c r="N147" s="441">
        <f>((PRODUCT(1+B147/100,1+C147/100,1+D147/100,1+E147/100,1+F147/100,1+G147/100,1+H147/100,1+I147/100,1+J147/100,1+K147/100,1+L147/100,1+M147/100))-1)*100</f>
        <v>15.714800458397193</v>
      </c>
    </row>
    <row r="148" spans="1:14" ht="15.75" thickBot="1" x14ac:dyDescent="0.3">
      <c r="A148" s="443" t="s">
        <v>208</v>
      </c>
      <c r="B148" s="442">
        <v>0.93</v>
      </c>
      <c r="C148" s="442">
        <v>0.66</v>
      </c>
      <c r="D148" s="442">
        <v>0.85</v>
      </c>
      <c r="E148" s="442">
        <v>0.5</v>
      </c>
      <c r="F148" s="442">
        <v>0.87</v>
      </c>
      <c r="G148" s="442">
        <v>0.19</v>
      </c>
      <c r="H148" s="442">
        <v>0.66</v>
      </c>
      <c r="I148" s="442">
        <v>0.5</v>
      </c>
      <c r="J148" s="442">
        <v>0.44</v>
      </c>
      <c r="K148" s="442">
        <v>0.86</v>
      </c>
      <c r="L148" s="442">
        <v>0.64</v>
      </c>
      <c r="M148" s="442">
        <v>0.75</v>
      </c>
      <c r="N148" s="441">
        <f>((PRODUCT(1+B148/100,1+C148/100,1+D148/100,1+E148/100,1+F148/100,1+G148/100,1+H148/100,1+I148/100,1+J148/100,1+K148/100,1+L148/100,1+M148/100))-1)*100</f>
        <v>8.1359001202240258</v>
      </c>
    </row>
    <row r="149" spans="1:14" ht="15.75" thickBot="1" x14ac:dyDescent="0.3">
      <c r="A149" s="443" t="s">
        <v>118</v>
      </c>
      <c r="B149" s="442">
        <v>1.08</v>
      </c>
      <c r="C149" s="442">
        <v>0.86</v>
      </c>
      <c r="D149" s="442">
        <v>1.05</v>
      </c>
      <c r="E149" s="442">
        <v>0.79</v>
      </c>
      <c r="F149" s="442">
        <v>0.93</v>
      </c>
      <c r="G149" s="442">
        <v>0.81</v>
      </c>
      <c r="H149" s="442">
        <v>0.81</v>
      </c>
      <c r="I149" s="442">
        <v>0.8</v>
      </c>
      <c r="J149" s="442">
        <v>0.64</v>
      </c>
      <c r="K149" s="442">
        <v>0.64</v>
      </c>
      <c r="L149" s="442">
        <v>0.56999999999999995</v>
      </c>
      <c r="M149" s="442">
        <v>0.54</v>
      </c>
      <c r="N149" s="441">
        <f>((PRODUCT(1+B149/100,1+C149/100,1+D149/100,1+E149/100,1+F149/100,1+G149/100,1+H149/100,1+I149/100,1+J149/100,1+K149/100,1+L149/100,1+M149/100))-1)*100</f>
        <v>9.9447717995015275</v>
      </c>
    </row>
    <row r="150" spans="1:14" ht="15.75" thickBot="1" x14ac:dyDescent="0.3">
      <c r="A150" s="449" t="s">
        <v>209</v>
      </c>
      <c r="B150" s="448">
        <f t="shared" ref="B150:N150" si="14">B147-B148</f>
        <v>1.4499999999999997</v>
      </c>
      <c r="C150" s="445">
        <f t="shared" si="14"/>
        <v>2.0499999999999998</v>
      </c>
      <c r="D150" s="448">
        <f t="shared" si="14"/>
        <v>-0.22999999999999998</v>
      </c>
      <c r="E150" s="445">
        <f t="shared" si="14"/>
        <v>-0.28000000000000003</v>
      </c>
      <c r="F150" s="446">
        <f t="shared" si="14"/>
        <v>-1.8199999999999998</v>
      </c>
      <c r="G150" s="444">
        <f t="shared" si="14"/>
        <v>0.33</v>
      </c>
      <c r="H150" s="447">
        <f t="shared" si="14"/>
        <v>3.8499999999999996</v>
      </c>
      <c r="I150" s="447">
        <f t="shared" si="14"/>
        <v>1.5299999999999998</v>
      </c>
      <c r="J150" s="447">
        <f t="shared" si="14"/>
        <v>1.8000000000000003</v>
      </c>
      <c r="K150" s="447">
        <f t="shared" si="14"/>
        <v>-0.95</v>
      </c>
      <c r="L150" s="446">
        <f t="shared" si="14"/>
        <v>-1.6400000000000001</v>
      </c>
      <c r="M150" s="445">
        <f t="shared" si="14"/>
        <v>0.8899999999999999</v>
      </c>
      <c r="N150" s="444">
        <f t="shared" si="14"/>
        <v>7.5789003381731668</v>
      </c>
    </row>
    <row r="153" spans="1:14" ht="15" thickBot="1" x14ac:dyDescent="0.25"/>
    <row r="154" spans="1:14" ht="15.75" thickBot="1" x14ac:dyDescent="0.3">
      <c r="A154" s="443" t="s">
        <v>208</v>
      </c>
      <c r="B154" s="442">
        <v>2.38</v>
      </c>
      <c r="C154" s="442">
        <v>2.71</v>
      </c>
      <c r="D154" s="442">
        <v>0.62</v>
      </c>
      <c r="E154" s="442">
        <v>0.22</v>
      </c>
      <c r="F154" s="442">
        <v>-0.95</v>
      </c>
      <c r="G154" s="442">
        <v>0.52</v>
      </c>
      <c r="H154" s="442">
        <v>4.51</v>
      </c>
      <c r="I154" s="442">
        <v>2.0299999999999998</v>
      </c>
      <c r="J154" s="442">
        <v>2.2400000000000002</v>
      </c>
      <c r="K154" s="442">
        <v>-0.09</v>
      </c>
      <c r="L154" s="442">
        <v>-1</v>
      </c>
      <c r="M154" s="442">
        <v>1.64</v>
      </c>
      <c r="N154" s="441">
        <f>((PRODUCT(1+B154/100,1+C154/100,1+D154/100,1+E154/100,1+F154/100,1+G154/100,1+H154/100,1+I154/100,1+J154/100,1+K154/100,1+L154/100,1+M154/100))-1)*100</f>
        <v>15.714800458397193</v>
      </c>
    </row>
    <row r="157" spans="1:14" ht="15" thickBot="1" x14ac:dyDescent="0.25"/>
    <row r="158" spans="1:14" ht="15.75" thickBot="1" x14ac:dyDescent="0.3">
      <c r="A158" s="443" t="s">
        <v>208</v>
      </c>
      <c r="B158" s="442">
        <v>1.1399999999999999</v>
      </c>
      <c r="C158" s="442">
        <v>1.1200000000000001</v>
      </c>
      <c r="D158" s="442">
        <v>1.0900000000000001</v>
      </c>
      <c r="E158" s="442">
        <v>0.64</v>
      </c>
      <c r="F158" s="442">
        <v>0.65</v>
      </c>
      <c r="G158" s="442"/>
      <c r="H158" s="442"/>
      <c r="I158" s="442"/>
      <c r="J158" s="442"/>
      <c r="K158" s="442"/>
      <c r="L158" s="442"/>
      <c r="M158" s="442"/>
      <c r="N158" s="441">
        <f>((PRODUCT(1+B158/100,1+C158/100,1+D158/100,1+E158/100,1+F158/100,1+G158/100,1+H158/100,1+I158/100,1+J158/100,1+K158/100,1+L158/100,1+M158/100))-1)*100</f>
        <v>4.7255413740211916</v>
      </c>
    </row>
    <row r="160" spans="1:14" ht="15" thickBot="1" x14ac:dyDescent="0.25"/>
    <row r="161" spans="1:14" ht="18" x14ac:dyDescent="0.25">
      <c r="A161" s="652" t="s">
        <v>232</v>
      </c>
      <c r="B161" s="653"/>
      <c r="C161" s="653"/>
      <c r="D161" s="653"/>
      <c r="E161" s="653"/>
      <c r="F161" s="653"/>
      <c r="G161" s="653"/>
      <c r="H161" s="653"/>
      <c r="I161" s="653"/>
      <c r="J161" s="653"/>
      <c r="K161" s="653"/>
      <c r="L161" s="653"/>
      <c r="M161" s="653"/>
      <c r="N161" s="654"/>
    </row>
    <row r="162" spans="1:14" ht="15.75" thickBot="1" x14ac:dyDescent="0.25">
      <c r="A162" s="649" t="s">
        <v>215</v>
      </c>
      <c r="B162" s="650"/>
      <c r="C162" s="650"/>
      <c r="D162" s="650"/>
      <c r="E162" s="650"/>
      <c r="F162" s="650"/>
      <c r="G162" s="650"/>
      <c r="H162" s="650"/>
      <c r="I162" s="650"/>
      <c r="J162" s="650"/>
      <c r="K162" s="650"/>
      <c r="L162" s="650"/>
      <c r="M162" s="650"/>
      <c r="N162" s="651"/>
    </row>
    <row r="163" spans="1:14" ht="15" thickBot="1" x14ac:dyDescent="0.25"/>
    <row r="164" spans="1:14" ht="15.75" thickBot="1" x14ac:dyDescent="0.25">
      <c r="A164" s="456" t="s">
        <v>212</v>
      </c>
      <c r="B164" s="455">
        <v>43101</v>
      </c>
      <c r="C164" s="455">
        <v>43132</v>
      </c>
      <c r="D164" s="455">
        <v>43160</v>
      </c>
      <c r="E164" s="455">
        <v>43191</v>
      </c>
      <c r="F164" s="455">
        <v>43221</v>
      </c>
      <c r="G164" s="455">
        <v>43252</v>
      </c>
      <c r="H164" s="455">
        <v>43282</v>
      </c>
      <c r="I164" s="455">
        <v>43313</v>
      </c>
      <c r="J164" s="455">
        <v>43344</v>
      </c>
      <c r="K164" s="455">
        <v>43374</v>
      </c>
      <c r="L164" s="455">
        <v>43405</v>
      </c>
      <c r="M164" s="455">
        <v>43435</v>
      </c>
      <c r="N164" s="452" t="s">
        <v>211</v>
      </c>
    </row>
    <row r="165" spans="1:14" ht="15.75" thickBot="1" x14ac:dyDescent="0.3">
      <c r="A165" s="451" t="s">
        <v>210</v>
      </c>
      <c r="B165" s="442">
        <v>2.9</v>
      </c>
      <c r="C165" s="442">
        <v>0.91</v>
      </c>
      <c r="D165" s="442">
        <v>1.05</v>
      </c>
      <c r="E165" s="442">
        <v>0.35</v>
      </c>
      <c r="F165" s="450">
        <v>-2.71</v>
      </c>
      <c r="G165" s="450">
        <v>-0.28999999999999998</v>
      </c>
      <c r="H165" s="442">
        <v>2.13</v>
      </c>
      <c r="I165" s="442"/>
      <c r="J165" s="442"/>
      <c r="K165" s="450"/>
      <c r="L165" s="450"/>
      <c r="M165" s="442"/>
      <c r="N165" s="441">
        <f>((PRODUCT(1+B165/100,1+C165/100,1+D165/100,1+E165/100,1+F165/100,1+G165/100,1+H165/100,1+I165/100,1+J165/100,1+K165/100,1+L165/100,1+M165/100))-1)*100</f>
        <v>4.3190268783246388</v>
      </c>
    </row>
    <row r="166" spans="1:14" ht="15.75" thickBot="1" x14ac:dyDescent="0.3">
      <c r="A166" s="443" t="s">
        <v>208</v>
      </c>
      <c r="B166" s="442">
        <v>0.74</v>
      </c>
      <c r="C166" s="442">
        <v>0.6</v>
      </c>
      <c r="D166" s="442">
        <v>0.56000000000000005</v>
      </c>
      <c r="E166" s="442">
        <v>0.7</v>
      </c>
      <c r="F166" s="442">
        <v>0.92</v>
      </c>
      <c r="G166" s="442">
        <v>1.92</v>
      </c>
      <c r="H166" s="442">
        <v>0.76</v>
      </c>
      <c r="I166" s="442"/>
      <c r="J166" s="442"/>
      <c r="K166" s="442"/>
      <c r="L166" s="442"/>
      <c r="M166" s="442"/>
      <c r="N166" s="441">
        <f>((PRODUCT(1+B166/100,1+C166/100,1+D166/100,1+E166/100,1+F166/100,1+G166/100,1+H166/100,1+I166/100,1+J166/100,1+K166/100,1+L166/100,1+M166/100))-1)*100</f>
        <v>6.3602815105536781</v>
      </c>
    </row>
    <row r="167" spans="1:14" ht="15.75" thickBot="1" x14ac:dyDescent="0.3">
      <c r="A167" s="443" t="s">
        <v>118</v>
      </c>
      <c r="B167" s="442">
        <v>0.57999999999999996</v>
      </c>
      <c r="C167" s="442">
        <v>0.46</v>
      </c>
      <c r="D167" s="442">
        <v>0.53</v>
      </c>
      <c r="E167" s="442">
        <v>0.52</v>
      </c>
      <c r="F167" s="442">
        <v>0.52</v>
      </c>
      <c r="G167" s="442">
        <v>0.52</v>
      </c>
      <c r="H167" s="442">
        <v>0.54</v>
      </c>
      <c r="I167" s="442"/>
      <c r="J167" s="442"/>
      <c r="K167" s="442"/>
      <c r="L167" s="442"/>
      <c r="M167" s="442"/>
      <c r="N167" s="441">
        <f>((PRODUCT(1+B167/100,1+C167/100,1+D167/100,1+E167/100,1+F167/100,1+G167/100,1+H167/100,1+I167/100,1+J167/100,1+K167/100,1+L167/100,1+M167/100))-1)*100</f>
        <v>3.7281920434895977</v>
      </c>
    </row>
    <row r="168" spans="1:14" ht="15.75" thickBot="1" x14ac:dyDescent="0.3">
      <c r="A168" s="461" t="s">
        <v>209</v>
      </c>
      <c r="B168" s="444">
        <f t="shared" ref="B168:N168" si="15">B165-B166</f>
        <v>2.16</v>
      </c>
      <c r="C168" s="458">
        <f t="shared" si="15"/>
        <v>0.31000000000000005</v>
      </c>
      <c r="D168" s="458">
        <f t="shared" si="15"/>
        <v>0.49</v>
      </c>
      <c r="E168" s="459">
        <f t="shared" si="15"/>
        <v>-0.35</v>
      </c>
      <c r="F168" s="459">
        <f t="shared" si="15"/>
        <v>-3.63</v>
      </c>
      <c r="G168" s="459">
        <f t="shared" si="15"/>
        <v>-2.21</v>
      </c>
      <c r="H168" s="460">
        <f t="shared" si="15"/>
        <v>1.3699999999999999</v>
      </c>
      <c r="I168" s="460">
        <f t="shared" si="15"/>
        <v>0</v>
      </c>
      <c r="J168" s="460">
        <f t="shared" si="15"/>
        <v>0</v>
      </c>
      <c r="K168" s="460">
        <f t="shared" si="15"/>
        <v>0</v>
      </c>
      <c r="L168" s="459">
        <f t="shared" si="15"/>
        <v>0</v>
      </c>
      <c r="M168" s="458">
        <f t="shared" si="15"/>
        <v>0</v>
      </c>
      <c r="N168" s="444">
        <f t="shared" si="15"/>
        <v>-2.0412546322290392</v>
      </c>
    </row>
    <row r="169" spans="1:14" ht="15" thickBot="1" x14ac:dyDescent="0.25"/>
    <row r="170" spans="1:14" ht="18" x14ac:dyDescent="0.25">
      <c r="A170" s="652" t="s">
        <v>214</v>
      </c>
      <c r="B170" s="653"/>
      <c r="C170" s="653"/>
      <c r="D170" s="653"/>
      <c r="E170" s="653"/>
      <c r="F170" s="653"/>
      <c r="G170" s="653"/>
      <c r="H170" s="653"/>
      <c r="I170" s="653"/>
      <c r="J170" s="653"/>
      <c r="K170" s="653"/>
      <c r="L170" s="653"/>
      <c r="M170" s="653"/>
      <c r="N170" s="654"/>
    </row>
    <row r="171" spans="1:14" ht="15.75" thickBot="1" x14ac:dyDescent="0.25">
      <c r="A171" s="649" t="s">
        <v>213</v>
      </c>
      <c r="B171" s="650"/>
      <c r="C171" s="650"/>
      <c r="D171" s="650"/>
      <c r="E171" s="650"/>
      <c r="F171" s="650"/>
      <c r="G171" s="650"/>
      <c r="H171" s="650"/>
      <c r="I171" s="650"/>
      <c r="J171" s="650"/>
      <c r="K171" s="650"/>
      <c r="L171" s="650"/>
      <c r="M171" s="650"/>
      <c r="N171" s="651"/>
    </row>
    <row r="172" spans="1:14" ht="16.5" thickBot="1" x14ac:dyDescent="0.25">
      <c r="A172" s="457"/>
      <c r="B172" s="457"/>
      <c r="C172" s="457"/>
      <c r="D172" s="457"/>
      <c r="E172" s="457"/>
      <c r="F172" s="457"/>
      <c r="G172" s="457"/>
      <c r="H172" s="457"/>
      <c r="I172" s="457"/>
      <c r="J172" s="457"/>
      <c r="K172" s="457"/>
      <c r="L172" s="457"/>
      <c r="M172" s="457"/>
      <c r="N172" s="457"/>
    </row>
    <row r="173" spans="1:14" ht="15.75" thickBot="1" x14ac:dyDescent="0.25">
      <c r="A173" s="456" t="s">
        <v>212</v>
      </c>
      <c r="B173" s="455">
        <v>43101</v>
      </c>
      <c r="C173" s="454">
        <v>43132</v>
      </c>
      <c r="D173" s="454">
        <v>43160</v>
      </c>
      <c r="E173" s="454">
        <v>43191</v>
      </c>
      <c r="F173" s="454">
        <v>43221</v>
      </c>
      <c r="G173" s="454">
        <v>43252</v>
      </c>
      <c r="H173" s="454">
        <v>43282</v>
      </c>
      <c r="I173" s="454">
        <v>42948</v>
      </c>
      <c r="J173" s="454">
        <v>42979</v>
      </c>
      <c r="K173" s="454">
        <v>43009</v>
      </c>
      <c r="L173" s="454">
        <v>43040</v>
      </c>
      <c r="M173" s="453">
        <v>43070</v>
      </c>
      <c r="N173" s="452" t="s">
        <v>211</v>
      </c>
    </row>
    <row r="174" spans="1:14" ht="15.75" thickBot="1" x14ac:dyDescent="0.3">
      <c r="A174" s="451" t="s">
        <v>210</v>
      </c>
      <c r="B174" s="442">
        <v>2.9</v>
      </c>
      <c r="C174" s="442">
        <v>0.91</v>
      </c>
      <c r="D174" s="442">
        <v>1.05</v>
      </c>
      <c r="E174" s="442">
        <v>0.35</v>
      </c>
      <c r="F174" s="450">
        <v>-2.71</v>
      </c>
      <c r="G174" s="450">
        <v>-0.28999999999999998</v>
      </c>
      <c r="H174" s="442">
        <v>2.13</v>
      </c>
      <c r="I174" s="442">
        <v>2.0299999999999998</v>
      </c>
      <c r="J174" s="442">
        <v>2.2400000000000002</v>
      </c>
      <c r="K174" s="450">
        <v>-0.09</v>
      </c>
      <c r="L174" s="450">
        <v>-1</v>
      </c>
      <c r="M174" s="442">
        <v>1.64</v>
      </c>
      <c r="N174" s="441">
        <f>((PRODUCT(1+B174/100,1+C174/100,1+D174/100,1+E174/100,1+F174/100,1+G174/100,1+H174/100,1+I174/100,1+J174/100,1+K174/100,1+L174/100,1+M174/100))-1)*100</f>
        <v>9.4009427714164104</v>
      </c>
    </row>
    <row r="175" spans="1:14" ht="15.75" thickBot="1" x14ac:dyDescent="0.3">
      <c r="A175" s="443" t="s">
        <v>208</v>
      </c>
      <c r="B175" s="442">
        <v>0.74</v>
      </c>
      <c r="C175" s="442">
        <v>0.6</v>
      </c>
      <c r="D175" s="442">
        <v>0.56000000000000005</v>
      </c>
      <c r="E175" s="442">
        <v>0.7</v>
      </c>
      <c r="F175" s="442">
        <v>0.92</v>
      </c>
      <c r="G175" s="442">
        <v>1.92</v>
      </c>
      <c r="H175" s="442">
        <v>0.76</v>
      </c>
      <c r="I175" s="442">
        <v>0.5</v>
      </c>
      <c r="J175" s="442">
        <v>0.44</v>
      </c>
      <c r="K175" s="442">
        <v>0.86</v>
      </c>
      <c r="L175" s="442">
        <v>0.64</v>
      </c>
      <c r="M175" s="442">
        <v>0.75</v>
      </c>
      <c r="N175" s="441">
        <f>((PRODUCT(1+B175/100,1+C175/100,1+D175/100,1+E175/100,1+F175/100,1+G175/100,1+H175/100,1+I175/100,1+J175/100,1+K175/100,1+L175/100,1+M175/100))-1)*100</f>
        <v>9.7960940818646591</v>
      </c>
    </row>
    <row r="176" spans="1:14" ht="15.75" thickBot="1" x14ac:dyDescent="0.3">
      <c r="A176" s="443" t="s">
        <v>118</v>
      </c>
      <c r="B176" s="442">
        <v>0.57999999999999996</v>
      </c>
      <c r="C176" s="442">
        <v>0.46</v>
      </c>
      <c r="D176" s="442">
        <v>0.53</v>
      </c>
      <c r="E176" s="442">
        <v>0.52</v>
      </c>
      <c r="F176" s="442">
        <v>0.52</v>
      </c>
      <c r="G176" s="442">
        <v>0.52</v>
      </c>
      <c r="H176" s="442">
        <v>0.54</v>
      </c>
      <c r="I176" s="442">
        <v>0.8</v>
      </c>
      <c r="J176" s="442">
        <v>0.64</v>
      </c>
      <c r="K176" s="442">
        <v>0.64</v>
      </c>
      <c r="L176" s="442">
        <v>0.56999999999999995</v>
      </c>
      <c r="M176" s="442">
        <v>0.54</v>
      </c>
      <c r="N176" s="441">
        <f>((PRODUCT(1+B176/100,1+C176/100,1+D176/100,1+E176/100,1+F176/100,1+G176/100,1+H176/100,1+I176/100,1+J176/100,1+K176/100,1+L176/100,1+M176/100))-1)*100</f>
        <v>7.0793996592519948</v>
      </c>
    </row>
    <row r="177" spans="1:14" ht="15.75" thickBot="1" x14ac:dyDescent="0.3">
      <c r="A177" s="449" t="s">
        <v>209</v>
      </c>
      <c r="B177" s="448">
        <f t="shared" ref="B177:N177" si="16">B174-B175</f>
        <v>2.16</v>
      </c>
      <c r="C177" s="445">
        <f t="shared" si="16"/>
        <v>0.31000000000000005</v>
      </c>
      <c r="D177" s="448">
        <f t="shared" si="16"/>
        <v>0.49</v>
      </c>
      <c r="E177" s="446">
        <f t="shared" si="16"/>
        <v>-0.35</v>
      </c>
      <c r="F177" s="446">
        <f t="shared" si="16"/>
        <v>-3.63</v>
      </c>
      <c r="G177" s="459">
        <f t="shared" si="16"/>
        <v>-2.21</v>
      </c>
      <c r="H177" s="447">
        <f t="shared" si="16"/>
        <v>1.3699999999999999</v>
      </c>
      <c r="I177" s="447">
        <f t="shared" si="16"/>
        <v>1.5299999999999998</v>
      </c>
      <c r="J177" s="447">
        <f t="shared" si="16"/>
        <v>1.8000000000000003</v>
      </c>
      <c r="K177" s="447">
        <f t="shared" si="16"/>
        <v>-0.95</v>
      </c>
      <c r="L177" s="446">
        <f t="shared" si="16"/>
        <v>-1.6400000000000001</v>
      </c>
      <c r="M177" s="445">
        <f t="shared" si="16"/>
        <v>0.8899999999999999</v>
      </c>
      <c r="N177" s="444">
        <f t="shared" si="16"/>
        <v>-0.39515131044824869</v>
      </c>
    </row>
    <row r="180" spans="1:14" ht="15" thickBot="1" x14ac:dyDescent="0.25"/>
    <row r="181" spans="1:14" ht="15.75" thickBot="1" x14ac:dyDescent="0.3">
      <c r="A181" s="443" t="s">
        <v>208</v>
      </c>
      <c r="B181" s="442">
        <v>2.38</v>
      </c>
      <c r="C181" s="442">
        <v>2.71</v>
      </c>
      <c r="D181" s="442">
        <v>0.62</v>
      </c>
      <c r="E181" s="442">
        <v>0.22</v>
      </c>
      <c r="F181" s="442">
        <v>-0.95</v>
      </c>
      <c r="G181" s="442">
        <v>0.52</v>
      </c>
      <c r="H181" s="442">
        <v>4.51</v>
      </c>
      <c r="I181" s="442">
        <v>2.0299999999999998</v>
      </c>
      <c r="J181" s="442">
        <v>2.2400000000000002</v>
      </c>
      <c r="K181" s="442">
        <v>-0.09</v>
      </c>
      <c r="L181" s="442">
        <v>-1</v>
      </c>
      <c r="M181" s="442">
        <v>1.64</v>
      </c>
      <c r="N181" s="441">
        <f>((PRODUCT(1+B181/100,1+C181/100,1+D181/100,1+E181/100,1+F181/100,1+G181/100,1+H181/100,1+I181/100,1+J181/100,1+K181/100,1+L181/100,1+M181/100))-1)*100</f>
        <v>15.714800458397193</v>
      </c>
    </row>
    <row r="184" spans="1:14" ht="15" thickBot="1" x14ac:dyDescent="0.25"/>
    <row r="185" spans="1:14" ht="15.75" thickBot="1" x14ac:dyDescent="0.3">
      <c r="A185" s="443" t="s">
        <v>208</v>
      </c>
      <c r="B185" s="442">
        <v>1.1399999999999999</v>
      </c>
      <c r="C185" s="442">
        <v>1.1200000000000001</v>
      </c>
      <c r="D185" s="442">
        <v>1.0900000000000001</v>
      </c>
      <c r="E185" s="442">
        <v>0.64</v>
      </c>
      <c r="F185" s="442">
        <v>0.65</v>
      </c>
      <c r="G185" s="442"/>
      <c r="H185" s="442"/>
      <c r="I185" s="442"/>
      <c r="J185" s="442"/>
      <c r="K185" s="442"/>
      <c r="L185" s="442"/>
      <c r="M185" s="442"/>
      <c r="N185" s="441">
        <f>((PRODUCT(1+B185/100,1+C185/100,1+D185/100,1+E185/100,1+F185/100,1+G185/100,1+H185/100,1+I185/100,1+J185/100,1+K185/100,1+L185/100,1+M185/100))-1)*100</f>
        <v>4.7255413740211916</v>
      </c>
    </row>
  </sheetData>
  <mergeCells count="34">
    <mergeCell ref="A105:N105"/>
    <mergeCell ref="A57:N57"/>
    <mergeCell ref="A143:N143"/>
    <mergeCell ref="A144:N144"/>
    <mergeCell ref="A65:N65"/>
    <mergeCell ref="A66:N66"/>
    <mergeCell ref="A75:N75"/>
    <mergeCell ref="A76:N76"/>
    <mergeCell ref="A84:N84"/>
    <mergeCell ref="A114:N114"/>
    <mergeCell ref="A115:N115"/>
    <mergeCell ref="A123:N123"/>
    <mergeCell ref="A135:N135"/>
    <mergeCell ref="A2:N2"/>
    <mergeCell ref="A3:N3"/>
    <mergeCell ref="A13:N13"/>
    <mergeCell ref="A14:N14"/>
    <mergeCell ref="A24:N24"/>
    <mergeCell ref="A171:N171"/>
    <mergeCell ref="A25:N25"/>
    <mergeCell ref="A35:N35"/>
    <mergeCell ref="A161:N161"/>
    <mergeCell ref="A162:N162"/>
    <mergeCell ref="A170:N170"/>
    <mergeCell ref="A36:N36"/>
    <mergeCell ref="A46:N46"/>
    <mergeCell ref="A47:N47"/>
    <mergeCell ref="A56:N56"/>
    <mergeCell ref="A134:N134"/>
    <mergeCell ref="A85:N85"/>
    <mergeCell ref="A124:N124"/>
    <mergeCell ref="A95:N95"/>
    <mergeCell ref="A96:N96"/>
    <mergeCell ref="A104:N104"/>
  </mergeCells>
  <pageMargins left="0.51181102362204722" right="0.51181102362204722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9"/>
  <sheetViews>
    <sheetView topLeftCell="A37" zoomScaleNormal="100" workbookViewId="0">
      <selection activeCell="I43" sqref="I43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1.140625" style="1" bestFit="1" customWidth="1"/>
    <col min="8" max="8" width="11.5703125" style="353" customWidth="1"/>
    <col min="9" max="9" width="10.85546875" customWidth="1"/>
    <col min="10" max="10" width="7.5703125" customWidth="1"/>
    <col min="11" max="11" width="7.7109375" customWidth="1"/>
    <col min="12" max="12" width="9.140625" customWidth="1"/>
    <col min="13" max="13" width="14" style="352" bestFit="1" customWidth="1"/>
    <col min="14" max="14" width="8.140625" style="353" bestFit="1" customWidth="1"/>
    <col min="15" max="15" width="13.5703125" customWidth="1"/>
    <col min="16" max="16" width="6.85546875" customWidth="1"/>
    <col min="17" max="17" width="5.5703125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162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685" t="s">
        <v>18</v>
      </c>
      <c r="Q3" s="686"/>
      <c r="R3" s="687"/>
      <c r="S3" s="38" t="s">
        <v>19</v>
      </c>
      <c r="T3" s="39"/>
      <c r="U3" s="39"/>
      <c r="V3" s="39"/>
      <c r="W3" s="39"/>
      <c r="X3" s="39"/>
      <c r="Y3" s="39"/>
    </row>
    <row r="4" spans="1:25" s="54" customFormat="1" ht="12" customHeight="1" thickBot="1" x14ac:dyDescent="0.25">
      <c r="A4" s="40"/>
      <c r="B4" s="402" t="s">
        <v>166</v>
      </c>
      <c r="C4" s="403"/>
      <c r="D4" s="404"/>
      <c r="E4" s="404"/>
      <c r="F4" s="404"/>
      <c r="G4" s="43">
        <f>SUM(G5:G10)</f>
        <v>123912756.25999999</v>
      </c>
      <c r="H4" s="44">
        <f t="shared" ref="H4:H13" si="0">G4/$G$70</f>
        <v>0.16240162755287127</v>
      </c>
      <c r="I4" s="45"/>
      <c r="J4" s="45"/>
      <c r="K4" s="45"/>
      <c r="L4" s="45"/>
      <c r="M4" s="46"/>
      <c r="N4" s="47"/>
      <c r="O4" s="48"/>
      <c r="P4" s="49"/>
      <c r="Q4" s="50"/>
      <c r="R4" s="51"/>
      <c r="S4" s="52"/>
      <c r="T4" s="53"/>
      <c r="U4" s="53"/>
      <c r="V4" s="53"/>
      <c r="W4" s="53"/>
      <c r="X4" s="53"/>
      <c r="Y4" s="53"/>
    </row>
    <row r="5" spans="1:25" s="1" customFormat="1" ht="16.5" customHeight="1" x14ac:dyDescent="0.25">
      <c r="A5" s="8">
        <v>1</v>
      </c>
      <c r="B5" s="55" t="s">
        <v>21</v>
      </c>
      <c r="C5" s="56" t="s">
        <v>22</v>
      </c>
      <c r="D5" s="57" t="s">
        <v>23</v>
      </c>
      <c r="E5" s="58"/>
      <c r="F5" s="58"/>
      <c r="G5" s="59">
        <v>25750497.16</v>
      </c>
      <c r="H5" s="60">
        <f t="shared" si="0"/>
        <v>3.3748927675411149E-2</v>
      </c>
      <c r="I5" s="61">
        <v>8.0999999999999996E-3</v>
      </c>
      <c r="J5" s="62" t="s">
        <v>24</v>
      </c>
      <c r="K5" s="62"/>
      <c r="L5" s="63"/>
      <c r="M5" s="64">
        <v>0</v>
      </c>
      <c r="N5" s="65"/>
      <c r="O5" s="688" t="s">
        <v>20</v>
      </c>
      <c r="P5" s="691">
        <f>SUM(G5:G10)/G70</f>
        <v>0.16240162755287127</v>
      </c>
      <c r="Q5" s="694">
        <v>1</v>
      </c>
      <c r="R5" s="675">
        <v>0.4</v>
      </c>
      <c r="S5" s="682" t="s">
        <v>175</v>
      </c>
      <c r="T5" s="66"/>
      <c r="U5" s="67"/>
      <c r="V5" s="66"/>
      <c r="W5" s="66"/>
      <c r="X5" s="66"/>
      <c r="Y5" s="68"/>
    </row>
    <row r="6" spans="1:25" s="1" customFormat="1" ht="16.5" thickBot="1" x14ac:dyDescent="0.3">
      <c r="A6" s="8">
        <v>2</v>
      </c>
      <c r="B6" s="69" t="s">
        <v>21</v>
      </c>
      <c r="C6" s="70" t="s">
        <v>22</v>
      </c>
      <c r="D6" s="71" t="s">
        <v>25</v>
      </c>
      <c r="E6" s="71"/>
      <c r="F6" s="72"/>
      <c r="G6" s="59">
        <v>11262419.060000001</v>
      </c>
      <c r="H6" s="73">
        <f t="shared" si="0"/>
        <v>1.476066904434524E-2</v>
      </c>
      <c r="I6" s="74">
        <v>1.34E-2</v>
      </c>
      <c r="J6" s="75" t="s">
        <v>26</v>
      </c>
      <c r="K6" s="76"/>
      <c r="L6" s="77"/>
      <c r="M6" s="78"/>
      <c r="N6" s="79"/>
      <c r="O6" s="689"/>
      <c r="P6" s="692"/>
      <c r="Q6" s="695"/>
      <c r="R6" s="697"/>
      <c r="S6" s="683"/>
      <c r="T6" s="66"/>
      <c r="U6" s="67"/>
      <c r="V6" s="66"/>
      <c r="W6" s="66"/>
      <c r="X6" s="66"/>
      <c r="Y6" s="68"/>
    </row>
    <row r="7" spans="1:25" s="1" customFormat="1" ht="15.75" x14ac:dyDescent="0.25">
      <c r="A7" s="8">
        <v>3</v>
      </c>
      <c r="B7" s="55" t="s">
        <v>21</v>
      </c>
      <c r="C7" s="56" t="s">
        <v>22</v>
      </c>
      <c r="D7" s="57" t="s">
        <v>27</v>
      </c>
      <c r="E7" s="80"/>
      <c r="F7" s="71"/>
      <c r="G7" s="81">
        <v>24994468.989999998</v>
      </c>
      <c r="H7" s="82">
        <f t="shared" si="0"/>
        <v>3.2758067581667487E-2</v>
      </c>
      <c r="I7" s="74">
        <v>2.1999999999999999E-2</v>
      </c>
      <c r="J7" s="62" t="s">
        <v>28</v>
      </c>
      <c r="K7" s="83"/>
      <c r="L7" s="84">
        <v>3.1941999999999999</v>
      </c>
      <c r="M7" s="85"/>
      <c r="N7" s="86"/>
      <c r="O7" s="689"/>
      <c r="P7" s="692"/>
      <c r="Q7" s="695"/>
      <c r="R7" s="697"/>
      <c r="S7" s="683"/>
      <c r="T7" s="66"/>
      <c r="U7" s="67"/>
      <c r="V7" s="66"/>
      <c r="W7" s="66"/>
      <c r="X7" s="66"/>
      <c r="Y7" s="68"/>
    </row>
    <row r="8" spans="1:25" s="1" customFormat="1" ht="16.5" thickBot="1" x14ac:dyDescent="0.3">
      <c r="A8" s="8">
        <v>4</v>
      </c>
      <c r="B8" s="55" t="s">
        <v>21</v>
      </c>
      <c r="C8" s="70" t="s">
        <v>22</v>
      </c>
      <c r="D8" s="87" t="s">
        <v>29</v>
      </c>
      <c r="E8" s="87"/>
      <c r="F8" s="71"/>
      <c r="G8" s="88">
        <v>29314521.109999999</v>
      </c>
      <c r="H8" s="73">
        <f t="shared" si="0"/>
        <v>3.841998259814193E-2</v>
      </c>
      <c r="I8" s="74">
        <v>5.1700000000000003E-2</v>
      </c>
      <c r="J8" s="89" t="s">
        <v>30</v>
      </c>
      <c r="K8" s="83"/>
      <c r="L8" s="90"/>
      <c r="M8" s="78"/>
      <c r="N8" s="79"/>
      <c r="O8" s="689"/>
      <c r="P8" s="692"/>
      <c r="Q8" s="695"/>
      <c r="R8" s="697"/>
      <c r="S8" s="683"/>
      <c r="T8" s="66"/>
      <c r="U8" s="67"/>
      <c r="V8" s="66"/>
      <c r="W8" s="66"/>
      <c r="X8" s="66"/>
      <c r="Y8" s="68"/>
    </row>
    <row r="9" spans="1:25" s="1" customFormat="1" ht="15.75" x14ac:dyDescent="0.25">
      <c r="A9" s="8">
        <v>5</v>
      </c>
      <c r="B9" s="69" t="s">
        <v>21</v>
      </c>
      <c r="C9" s="419" t="s">
        <v>22</v>
      </c>
      <c r="D9" s="87" t="s">
        <v>31</v>
      </c>
      <c r="E9" s="87"/>
      <c r="F9" s="80"/>
      <c r="G9" s="81">
        <v>11898246.800000001</v>
      </c>
      <c r="H9" s="73">
        <f t="shared" si="0"/>
        <v>1.5593992932344307E-2</v>
      </c>
      <c r="I9" s="170">
        <v>5.1700000000000003E-2</v>
      </c>
      <c r="J9" s="420" t="s">
        <v>32</v>
      </c>
      <c r="K9" s="421"/>
      <c r="L9" s="422"/>
      <c r="M9" s="78"/>
      <c r="N9" s="91"/>
      <c r="O9" s="689"/>
      <c r="P9" s="692"/>
      <c r="Q9" s="695"/>
      <c r="R9" s="697"/>
      <c r="S9" s="683"/>
      <c r="T9" s="66"/>
      <c r="U9" s="67"/>
      <c r="V9" s="66"/>
      <c r="W9" s="66"/>
      <c r="X9" s="66"/>
      <c r="Y9" s="68"/>
    </row>
    <row r="10" spans="1:25" s="1" customFormat="1" ht="16.5" thickBot="1" x14ac:dyDescent="0.3">
      <c r="A10" s="8">
        <v>6</v>
      </c>
      <c r="B10" s="55" t="s">
        <v>21</v>
      </c>
      <c r="C10" s="157" t="s">
        <v>22</v>
      </c>
      <c r="D10" s="71" t="s">
        <v>33</v>
      </c>
      <c r="E10" s="71"/>
      <c r="F10" s="71"/>
      <c r="G10" s="59">
        <v>20692603.140000001</v>
      </c>
      <c r="H10" s="73">
        <f t="shared" si="0"/>
        <v>2.7119987720961174E-2</v>
      </c>
      <c r="I10" s="74">
        <v>5.1700000000000003E-2</v>
      </c>
      <c r="J10" s="75" t="s">
        <v>34</v>
      </c>
      <c r="K10" s="421"/>
      <c r="L10" s="83"/>
      <c r="M10" s="85"/>
      <c r="N10" s="79"/>
      <c r="O10" s="690"/>
      <c r="P10" s="693"/>
      <c r="Q10" s="696"/>
      <c r="R10" s="676"/>
      <c r="S10" s="684"/>
      <c r="T10" s="67"/>
      <c r="U10" s="67"/>
      <c r="V10" s="66"/>
      <c r="W10" s="67"/>
      <c r="X10" s="67"/>
      <c r="Y10" s="97"/>
    </row>
    <row r="11" spans="1:25" s="54" customFormat="1" ht="16.5" thickBot="1" x14ac:dyDescent="0.25">
      <c r="A11" s="40"/>
      <c r="B11" s="402" t="s">
        <v>167</v>
      </c>
      <c r="C11" s="403"/>
      <c r="D11" s="404"/>
      <c r="E11" s="404"/>
      <c r="F11" s="404"/>
      <c r="G11" s="43">
        <f>SUM(G12:G19)</f>
        <v>271224588.34999996</v>
      </c>
      <c r="H11" s="44">
        <f t="shared" si="0"/>
        <v>0.35547038020827515</v>
      </c>
      <c r="I11" s="98"/>
      <c r="J11" s="99"/>
      <c r="K11" s="45"/>
      <c r="L11" s="45"/>
      <c r="M11" s="148"/>
      <c r="N11" s="423"/>
      <c r="O11" s="48"/>
      <c r="P11" s="424"/>
      <c r="Q11" s="417"/>
      <c r="R11" s="103"/>
      <c r="S11" s="425"/>
      <c r="T11" s="53"/>
      <c r="U11" s="53"/>
      <c r="V11" s="53"/>
      <c r="W11" s="53"/>
      <c r="X11" s="53"/>
      <c r="Y11" s="53"/>
    </row>
    <row r="12" spans="1:25" s="1" customFormat="1" ht="15.75" customHeight="1" x14ac:dyDescent="0.25">
      <c r="A12" s="8">
        <v>7</v>
      </c>
      <c r="B12" s="104" t="s">
        <v>35</v>
      </c>
      <c r="C12" s="105" t="s">
        <v>36</v>
      </c>
      <c r="D12" s="106" t="s">
        <v>37</v>
      </c>
      <c r="E12" s="107" t="s">
        <v>38</v>
      </c>
      <c r="F12" s="108" t="s">
        <v>39</v>
      </c>
      <c r="G12" s="109">
        <v>38650893.140000001</v>
      </c>
      <c r="H12" s="110">
        <f t="shared" si="0"/>
        <v>5.065635001401677E-2</v>
      </c>
      <c r="I12" s="111">
        <v>1.3100000000000001E-2</v>
      </c>
      <c r="J12" s="112"/>
      <c r="K12" s="113"/>
      <c r="L12" s="114" t="s">
        <v>40</v>
      </c>
      <c r="M12" s="115">
        <v>1237352988.2</v>
      </c>
      <c r="N12" s="116">
        <f t="shared" ref="N12:N19" si="1">G12/M12</f>
        <v>3.1236755807432251E-2</v>
      </c>
      <c r="O12" s="659" t="s">
        <v>41</v>
      </c>
      <c r="P12" s="662">
        <f>(SUM(G12:G19)/G70)</f>
        <v>0.35547038020827515</v>
      </c>
      <c r="Q12" s="655">
        <v>1</v>
      </c>
      <c r="R12" s="655">
        <v>0.5</v>
      </c>
      <c r="S12" s="657" t="s">
        <v>174</v>
      </c>
      <c r="T12" s="67"/>
      <c r="U12" s="67"/>
      <c r="V12" s="66"/>
      <c r="W12" s="67"/>
      <c r="X12" s="67"/>
      <c r="Y12" s="97"/>
    </row>
    <row r="13" spans="1:25" s="1" customFormat="1" ht="15.75" customHeight="1" thickBot="1" x14ac:dyDescent="0.3">
      <c r="A13" s="8">
        <v>8</v>
      </c>
      <c r="B13" s="117" t="s">
        <v>42</v>
      </c>
      <c r="C13" s="118" t="s">
        <v>43</v>
      </c>
      <c r="D13" s="57" t="s">
        <v>44</v>
      </c>
      <c r="E13" s="119" t="s">
        <v>38</v>
      </c>
      <c r="F13" s="120" t="s">
        <v>39</v>
      </c>
      <c r="G13" s="121">
        <v>29242019.800000001</v>
      </c>
      <c r="H13" s="122">
        <f t="shared" si="0"/>
        <v>3.8324961463118437E-2</v>
      </c>
      <c r="I13" s="123">
        <v>1.2869999999999999E-2</v>
      </c>
      <c r="J13" s="124"/>
      <c r="K13" s="125"/>
      <c r="L13" s="126" t="s">
        <v>45</v>
      </c>
      <c r="M13" s="127">
        <v>4729358053.6199999</v>
      </c>
      <c r="N13" s="128">
        <f t="shared" si="1"/>
        <v>6.1830843570021598E-3</v>
      </c>
      <c r="O13" s="660"/>
      <c r="P13" s="663"/>
      <c r="Q13" s="665"/>
      <c r="R13" s="665"/>
      <c r="S13" s="677"/>
      <c r="T13" s="67"/>
      <c r="U13" s="67"/>
      <c r="V13" s="66"/>
      <c r="W13" s="67"/>
      <c r="X13" s="67"/>
      <c r="Y13" s="97"/>
    </row>
    <row r="14" spans="1:25" s="1" customFormat="1" ht="15.75" customHeight="1" thickBot="1" x14ac:dyDescent="0.3">
      <c r="A14" s="8"/>
      <c r="B14" s="117" t="s">
        <v>42</v>
      </c>
      <c r="C14" s="118" t="s">
        <v>43</v>
      </c>
      <c r="D14" s="57" t="s">
        <v>61</v>
      </c>
      <c r="E14" s="119" t="s">
        <v>38</v>
      </c>
      <c r="F14" s="119" t="s">
        <v>39</v>
      </c>
      <c r="G14" s="121">
        <v>19629792.140000001</v>
      </c>
      <c r="H14" s="122">
        <f>G14/$G$64</f>
        <v>1.3588215255125686</v>
      </c>
      <c r="I14" s="123">
        <v>1.3122E-2</v>
      </c>
      <c r="J14" s="124"/>
      <c r="K14" s="125"/>
      <c r="L14" s="145" t="s">
        <v>53</v>
      </c>
      <c r="M14" s="127">
        <v>2196083459.8899999</v>
      </c>
      <c r="N14" s="128">
        <f>G14/M14</f>
        <v>8.9385455965244782E-3</v>
      </c>
      <c r="O14" s="660"/>
      <c r="P14" s="663"/>
      <c r="Q14" s="665"/>
      <c r="R14" s="665"/>
      <c r="S14" s="677"/>
      <c r="T14" s="67"/>
      <c r="U14" s="67"/>
      <c r="V14" s="66"/>
      <c r="W14" s="67"/>
      <c r="X14" s="67"/>
      <c r="Y14" s="97"/>
    </row>
    <row r="15" spans="1:25" s="1" customFormat="1" ht="15.75" customHeight="1" x14ac:dyDescent="0.25">
      <c r="A15" s="8">
        <v>9</v>
      </c>
      <c r="B15" s="117" t="s">
        <v>46</v>
      </c>
      <c r="C15" s="105" t="s">
        <v>36</v>
      </c>
      <c r="D15" s="71" t="s">
        <v>47</v>
      </c>
      <c r="E15" s="129" t="s">
        <v>48</v>
      </c>
      <c r="F15" s="129" t="s">
        <v>49</v>
      </c>
      <c r="G15" s="59">
        <v>12536419.890000001</v>
      </c>
      <c r="H15" s="130">
        <f>G15/$G$70</f>
        <v>1.6430390665754267E-2</v>
      </c>
      <c r="I15" s="61">
        <v>3.3300000000000003E-2</v>
      </c>
      <c r="J15" s="131"/>
      <c r="K15" s="125"/>
      <c r="L15" s="132" t="s">
        <v>40</v>
      </c>
      <c r="M15" s="127">
        <v>349236457.67000002</v>
      </c>
      <c r="N15" s="133">
        <f t="shared" si="1"/>
        <v>3.5896652868486874E-2</v>
      </c>
      <c r="O15" s="660"/>
      <c r="P15" s="663"/>
      <c r="Q15" s="665"/>
      <c r="R15" s="665"/>
      <c r="S15" s="677"/>
      <c r="T15" s="67"/>
      <c r="U15" s="67"/>
      <c r="V15" s="66"/>
      <c r="W15" s="67"/>
      <c r="X15" s="67"/>
      <c r="Y15" s="97"/>
    </row>
    <row r="16" spans="1:25" s="1" customFormat="1" ht="16.5" thickBot="1" x14ac:dyDescent="0.3">
      <c r="A16" s="8">
        <v>10</v>
      </c>
      <c r="B16" s="134" t="s">
        <v>50</v>
      </c>
      <c r="C16" s="93" t="s">
        <v>51</v>
      </c>
      <c r="D16" s="71" t="s">
        <v>52</v>
      </c>
      <c r="E16" s="120" t="s">
        <v>38</v>
      </c>
      <c r="F16" s="120" t="s">
        <v>38</v>
      </c>
      <c r="G16" s="135">
        <v>52298679.369999997</v>
      </c>
      <c r="H16" s="82">
        <f>G16/$G$70</f>
        <v>6.8543311479025704E-2</v>
      </c>
      <c r="I16" s="74">
        <v>1.3073E-2</v>
      </c>
      <c r="J16" s="136"/>
      <c r="K16" s="137"/>
      <c r="L16" s="138" t="s">
        <v>53</v>
      </c>
      <c r="M16" s="139">
        <v>6740982774.0600004</v>
      </c>
      <c r="N16" s="133">
        <f t="shared" si="1"/>
        <v>7.7583167207088454E-3</v>
      </c>
      <c r="O16" s="660"/>
      <c r="P16" s="663"/>
      <c r="Q16" s="665"/>
      <c r="R16" s="665"/>
      <c r="S16" s="677"/>
      <c r="T16" s="67"/>
      <c r="U16" s="67"/>
      <c r="V16" s="66"/>
      <c r="W16" s="67"/>
      <c r="X16" s="67"/>
      <c r="Y16" s="97"/>
    </row>
    <row r="17" spans="1:25" s="1" customFormat="1" ht="16.5" thickBot="1" x14ac:dyDescent="0.3">
      <c r="A17" s="8">
        <v>11</v>
      </c>
      <c r="B17" s="134" t="s">
        <v>50</v>
      </c>
      <c r="C17" s="93" t="s">
        <v>51</v>
      </c>
      <c r="D17" s="71" t="s">
        <v>54</v>
      </c>
      <c r="E17" s="120" t="s">
        <v>38</v>
      </c>
      <c r="F17" s="120" t="s">
        <v>38</v>
      </c>
      <c r="G17" s="135">
        <v>104927700.98999999</v>
      </c>
      <c r="H17" s="82">
        <f>G17/$G$70</f>
        <v>0.13751957369426868</v>
      </c>
      <c r="I17" s="74">
        <v>1.3703E-2</v>
      </c>
      <c r="J17" s="136"/>
      <c r="K17" s="137"/>
      <c r="L17" s="138" t="s">
        <v>53</v>
      </c>
      <c r="M17" s="139">
        <v>2759142861.0300002</v>
      </c>
      <c r="N17" s="133">
        <f t="shared" si="1"/>
        <v>3.8029093191220269E-2</v>
      </c>
      <c r="O17" s="660"/>
      <c r="P17" s="663"/>
      <c r="Q17" s="665"/>
      <c r="R17" s="665"/>
      <c r="S17" s="677"/>
      <c r="T17" s="67"/>
      <c r="U17" s="67"/>
      <c r="V17" s="66"/>
      <c r="W17" s="67"/>
      <c r="X17" s="67"/>
      <c r="Y17" s="97"/>
    </row>
    <row r="18" spans="1:25" s="1" customFormat="1" ht="15.75" x14ac:dyDescent="0.25">
      <c r="A18" s="8">
        <v>12</v>
      </c>
      <c r="B18" s="55" t="s">
        <v>55</v>
      </c>
      <c r="C18" s="105" t="s">
        <v>36</v>
      </c>
      <c r="D18" s="71" t="s">
        <v>56</v>
      </c>
      <c r="E18" s="140" t="s">
        <v>38</v>
      </c>
      <c r="F18" s="140" t="s">
        <v>39</v>
      </c>
      <c r="G18" s="141">
        <v>6873383.6200000001</v>
      </c>
      <c r="H18" s="142">
        <f>G18/$G$70</f>
        <v>9.0083436150921927E-3</v>
      </c>
      <c r="I18" s="74">
        <v>1.2999999999999999E-2</v>
      </c>
      <c r="J18" s="143"/>
      <c r="K18" s="144"/>
      <c r="L18" s="145" t="s">
        <v>53</v>
      </c>
      <c r="M18" s="85">
        <v>1750421752.55</v>
      </c>
      <c r="N18" s="146">
        <f t="shared" si="1"/>
        <v>3.9267014420878345E-3</v>
      </c>
      <c r="O18" s="660"/>
      <c r="P18" s="663"/>
      <c r="Q18" s="665"/>
      <c r="R18" s="665"/>
      <c r="S18" s="677"/>
      <c r="T18" s="67"/>
      <c r="U18" s="67"/>
      <c r="V18" s="66"/>
      <c r="W18" s="67"/>
      <c r="X18" s="67"/>
      <c r="Y18" s="97"/>
    </row>
    <row r="19" spans="1:25" s="1" customFormat="1" ht="16.5" thickBot="1" x14ac:dyDescent="0.3">
      <c r="A19" s="147">
        <v>13</v>
      </c>
      <c r="B19" s="272" t="s">
        <v>57</v>
      </c>
      <c r="C19" s="370"/>
      <c r="D19" s="93" t="s">
        <v>58</v>
      </c>
      <c r="E19" s="181" t="s">
        <v>38</v>
      </c>
      <c r="F19" s="181" t="s">
        <v>39</v>
      </c>
      <c r="G19" s="371">
        <v>7065699.4000000004</v>
      </c>
      <c r="H19" s="372">
        <f>G19/$G$70</f>
        <v>9.2603951117965887E-3</v>
      </c>
      <c r="I19" s="251">
        <v>3.4000000000000002E-2</v>
      </c>
      <c r="J19" s="373"/>
      <c r="K19" s="204"/>
      <c r="L19" s="374" t="s">
        <v>40</v>
      </c>
      <c r="M19" s="96">
        <v>58769641.909999996</v>
      </c>
      <c r="N19" s="186">
        <f t="shared" si="1"/>
        <v>0.12022702828137755</v>
      </c>
      <c r="O19" s="661"/>
      <c r="P19" s="664"/>
      <c r="Q19" s="656"/>
      <c r="R19" s="656"/>
      <c r="S19" s="658"/>
      <c r="T19" s="67"/>
      <c r="U19" s="67"/>
      <c r="V19" s="66"/>
      <c r="W19" s="67"/>
      <c r="X19" s="67"/>
      <c r="Y19" s="97"/>
    </row>
    <row r="20" spans="1:25" s="1" customFormat="1" ht="16.5" thickBot="1" x14ac:dyDescent="0.3">
      <c r="A20" s="217"/>
      <c r="B20" s="405" t="s">
        <v>173</v>
      </c>
      <c r="C20" s="406"/>
      <c r="D20" s="407"/>
      <c r="E20" s="408"/>
      <c r="F20" s="408"/>
      <c r="G20" s="387"/>
      <c r="H20" s="44"/>
      <c r="I20" s="44"/>
      <c r="J20" s="44"/>
      <c r="K20" s="378"/>
      <c r="L20" s="382"/>
      <c r="M20" s="375"/>
      <c r="N20" s="219"/>
      <c r="O20" s="376" t="s">
        <v>41</v>
      </c>
      <c r="P20" s="362">
        <v>0</v>
      </c>
      <c r="Q20" s="201">
        <v>1</v>
      </c>
      <c r="R20" s="103">
        <v>0</v>
      </c>
      <c r="S20" s="359" t="s">
        <v>168</v>
      </c>
      <c r="T20" s="67"/>
      <c r="U20" s="67"/>
      <c r="V20" s="66"/>
      <c r="W20" s="67"/>
      <c r="X20" s="67"/>
      <c r="Y20" s="97"/>
    </row>
    <row r="21" spans="1:25" s="1" customFormat="1" ht="16.5" thickBot="1" x14ac:dyDescent="0.3">
      <c r="A21" s="217"/>
      <c r="B21" s="405" t="s">
        <v>169</v>
      </c>
      <c r="C21" s="406"/>
      <c r="D21" s="409"/>
      <c r="E21" s="410"/>
      <c r="F21" s="410"/>
      <c r="G21" s="388"/>
      <c r="H21" s="44"/>
      <c r="I21" s="130"/>
      <c r="J21" s="130"/>
      <c r="K21" s="232"/>
      <c r="L21" s="126"/>
      <c r="M21" s="380"/>
      <c r="N21" s="263"/>
      <c r="O21" s="381" t="s">
        <v>41</v>
      </c>
      <c r="P21" s="384">
        <v>0</v>
      </c>
      <c r="Q21" s="200">
        <v>0.05</v>
      </c>
      <c r="R21" s="201">
        <v>0</v>
      </c>
      <c r="S21" s="202" t="s">
        <v>170</v>
      </c>
      <c r="T21" s="67"/>
      <c r="U21" s="67"/>
      <c r="V21" s="66"/>
      <c r="W21" s="67"/>
      <c r="X21" s="67"/>
      <c r="Y21" s="97"/>
    </row>
    <row r="22" spans="1:25" s="54" customFormat="1" ht="16.5" thickBot="1" x14ac:dyDescent="0.25">
      <c r="A22" s="40"/>
      <c r="B22" s="402" t="s">
        <v>171</v>
      </c>
      <c r="C22" s="403"/>
      <c r="D22" s="404"/>
      <c r="E22" s="404"/>
      <c r="F22" s="404"/>
      <c r="G22" s="43"/>
      <c r="H22" s="44">
        <f>G22/$G$70</f>
        <v>0</v>
      </c>
      <c r="I22" s="98"/>
      <c r="J22" s="45"/>
      <c r="K22" s="45"/>
      <c r="L22" s="383"/>
      <c r="M22" s="148"/>
      <c r="N22" s="149"/>
      <c r="O22" s="163"/>
      <c r="P22" s="386"/>
      <c r="Q22" s="150"/>
      <c r="R22" s="386"/>
      <c r="S22" s="152"/>
      <c r="T22" s="53"/>
      <c r="U22" s="53"/>
      <c r="V22" s="53"/>
      <c r="W22" s="53"/>
      <c r="X22" s="53"/>
      <c r="Y22" s="53"/>
    </row>
    <row r="23" spans="1:25" s="1" customFormat="1" ht="16.5" thickBot="1" x14ac:dyDescent="0.3">
      <c r="A23" s="8"/>
      <c r="B23" s="411" t="s">
        <v>181</v>
      </c>
      <c r="C23" s="406"/>
      <c r="D23" s="412"/>
      <c r="E23" s="408"/>
      <c r="F23" s="410"/>
      <c r="G23" s="367"/>
      <c r="H23" s="393"/>
      <c r="I23" s="260"/>
      <c r="J23" s="260"/>
      <c r="K23" s="395"/>
      <c r="L23" s="368"/>
      <c r="M23" s="396"/>
      <c r="N23" s="44"/>
      <c r="O23" s="385" t="s">
        <v>172</v>
      </c>
      <c r="P23" s="384">
        <v>0</v>
      </c>
      <c r="Q23" s="201">
        <v>0.6</v>
      </c>
      <c r="R23" s="360">
        <v>0</v>
      </c>
      <c r="S23" s="379" t="s">
        <v>180</v>
      </c>
      <c r="T23" s="162"/>
      <c r="U23" s="67"/>
      <c r="V23" s="66"/>
      <c r="W23" s="66"/>
      <c r="X23" s="66"/>
      <c r="Y23" s="68"/>
    </row>
    <row r="24" spans="1:25" s="54" customFormat="1" ht="16.5" thickBot="1" x14ac:dyDescent="0.25">
      <c r="A24" s="40"/>
      <c r="B24" s="402" t="s">
        <v>176</v>
      </c>
      <c r="C24" s="403"/>
      <c r="D24" s="404"/>
      <c r="E24" s="404"/>
      <c r="F24" s="404"/>
      <c r="G24" s="397">
        <f>SUM(G25:G34)</f>
        <v>194159449.12</v>
      </c>
      <c r="H24" s="260">
        <f t="shared" ref="H24:H34" si="2">G24/$G$70</f>
        <v>0.25446783280080759</v>
      </c>
      <c r="I24" s="392"/>
      <c r="J24" s="99"/>
      <c r="K24" s="187"/>
      <c r="L24" s="45"/>
      <c r="M24" s="148"/>
      <c r="N24" s="149"/>
      <c r="O24" s="42"/>
      <c r="P24" s="150"/>
      <c r="Q24" s="150"/>
      <c r="R24" s="51"/>
      <c r="S24" s="163"/>
      <c r="T24" s="53"/>
      <c r="U24" s="53"/>
      <c r="V24" s="53"/>
      <c r="W24" s="53"/>
      <c r="X24" s="53"/>
      <c r="Y24" s="53"/>
    </row>
    <row r="25" spans="1:25" s="1" customFormat="1" ht="15.75" x14ac:dyDescent="0.25">
      <c r="A25" s="8">
        <v>18</v>
      </c>
      <c r="B25" s="55" t="s">
        <v>67</v>
      </c>
      <c r="C25" s="157" t="s">
        <v>68</v>
      </c>
      <c r="D25" s="71" t="s">
        <v>69</v>
      </c>
      <c r="E25" s="140" t="s">
        <v>70</v>
      </c>
      <c r="F25" s="140" t="s">
        <v>70</v>
      </c>
      <c r="G25" s="141">
        <v>4167555.9</v>
      </c>
      <c r="H25" s="164">
        <f t="shared" si="2"/>
        <v>5.4620515393704735E-3</v>
      </c>
      <c r="I25" s="165">
        <v>5.7999999999999996E-3</v>
      </c>
      <c r="J25" s="166"/>
      <c r="K25" s="167"/>
      <c r="L25" s="168" t="s">
        <v>71</v>
      </c>
      <c r="M25" s="169">
        <v>6788321803.6999998</v>
      </c>
      <c r="N25" s="133">
        <f t="shared" ref="N25:N32" si="3">G25/M25</f>
        <v>6.1393022023918458E-4</v>
      </c>
      <c r="O25" s="659" t="s">
        <v>60</v>
      </c>
      <c r="P25" s="662">
        <f>SUM(G25:G34)/G70</f>
        <v>0.25446783280080759</v>
      </c>
      <c r="Q25" s="655">
        <v>0.4</v>
      </c>
      <c r="R25" s="655">
        <v>0.3</v>
      </c>
      <c r="S25" s="657" t="s">
        <v>177</v>
      </c>
      <c r="T25" s="67"/>
      <c r="U25" s="67"/>
      <c r="V25" s="66"/>
      <c r="W25" s="67"/>
      <c r="X25" s="67"/>
      <c r="Y25" s="97"/>
    </row>
    <row r="26" spans="1:25" s="1" customFormat="1" ht="15.75" x14ac:dyDescent="0.25">
      <c r="A26" s="8">
        <v>19</v>
      </c>
      <c r="B26" s="55" t="s">
        <v>72</v>
      </c>
      <c r="C26" s="157" t="s">
        <v>68</v>
      </c>
      <c r="D26" s="71" t="s">
        <v>73</v>
      </c>
      <c r="E26" s="140" t="s">
        <v>70</v>
      </c>
      <c r="F26" s="140" t="s">
        <v>74</v>
      </c>
      <c r="G26" s="141">
        <v>397113.34</v>
      </c>
      <c r="H26" s="164">
        <f t="shared" si="2"/>
        <v>5.2046177234276575E-4</v>
      </c>
      <c r="I26" s="170">
        <v>5.1000000000000004E-3</v>
      </c>
      <c r="J26" s="124"/>
      <c r="K26" s="144"/>
      <c r="L26" s="145" t="s">
        <v>71</v>
      </c>
      <c r="M26" s="169">
        <v>8487878637.5299997</v>
      </c>
      <c r="N26" s="133">
        <f t="shared" si="3"/>
        <v>4.6785935209314124E-5</v>
      </c>
      <c r="O26" s="660"/>
      <c r="P26" s="663"/>
      <c r="Q26" s="665"/>
      <c r="R26" s="665"/>
      <c r="S26" s="677"/>
      <c r="T26" s="67"/>
      <c r="U26" s="67"/>
      <c r="V26" s="66"/>
      <c r="W26" s="67"/>
      <c r="X26" s="67"/>
      <c r="Y26" s="97"/>
    </row>
    <row r="27" spans="1:25" s="1" customFormat="1" ht="15.75" x14ac:dyDescent="0.25">
      <c r="A27" s="8"/>
      <c r="B27" s="55" t="s">
        <v>42</v>
      </c>
      <c r="C27" s="56" t="s">
        <v>43</v>
      </c>
      <c r="D27" s="57" t="s">
        <v>59</v>
      </c>
      <c r="E27" s="119" t="s">
        <v>38</v>
      </c>
      <c r="F27" s="129" t="s">
        <v>39</v>
      </c>
      <c r="G27" s="59">
        <v>52300743.960000001</v>
      </c>
      <c r="H27" s="82">
        <f t="shared" si="2"/>
        <v>6.854601735682514E-2</v>
      </c>
      <c r="I27" s="74">
        <v>3.3468999999999999E-2</v>
      </c>
      <c r="J27" s="124"/>
      <c r="K27" s="172"/>
      <c r="L27" s="132" t="s">
        <v>40</v>
      </c>
      <c r="M27" s="431">
        <v>1072547291.88</v>
      </c>
      <c r="N27" s="133">
        <f>G27/M27</f>
        <v>4.8763112224473895E-2</v>
      </c>
      <c r="O27" s="660"/>
      <c r="P27" s="663"/>
      <c r="Q27" s="665"/>
      <c r="R27" s="665"/>
      <c r="S27" s="677"/>
      <c r="T27" s="67"/>
      <c r="U27" s="67"/>
      <c r="V27" s="66"/>
      <c r="W27" s="67"/>
      <c r="X27" s="67"/>
      <c r="Y27" s="97"/>
    </row>
    <row r="28" spans="1:25" s="1" customFormat="1" ht="15.75" x14ac:dyDescent="0.25">
      <c r="A28" s="8">
        <v>20</v>
      </c>
      <c r="B28" s="55" t="s">
        <v>72</v>
      </c>
      <c r="C28" s="157" t="s">
        <v>68</v>
      </c>
      <c r="D28" s="71" t="s">
        <v>69</v>
      </c>
      <c r="E28" s="140" t="s">
        <v>70</v>
      </c>
      <c r="F28" s="140" t="s">
        <v>70</v>
      </c>
      <c r="G28" s="141"/>
      <c r="H28" s="164">
        <f t="shared" si="2"/>
        <v>0</v>
      </c>
      <c r="I28" s="170">
        <v>5.3E-3</v>
      </c>
      <c r="J28" s="171"/>
      <c r="K28" s="172"/>
      <c r="L28" s="145" t="s">
        <v>71</v>
      </c>
      <c r="M28" s="169">
        <v>6788321803.6999998</v>
      </c>
      <c r="N28" s="133">
        <f t="shared" si="3"/>
        <v>0</v>
      </c>
      <c r="O28" s="660"/>
      <c r="P28" s="663"/>
      <c r="Q28" s="665"/>
      <c r="R28" s="665"/>
      <c r="S28" s="677"/>
      <c r="T28" s="67"/>
      <c r="U28" s="67"/>
      <c r="V28" s="66"/>
      <c r="W28" s="67"/>
      <c r="X28" s="67"/>
      <c r="Y28" s="97"/>
    </row>
    <row r="29" spans="1:25" s="1" customFormat="1" ht="16.5" thickBot="1" x14ac:dyDescent="0.3">
      <c r="A29" s="8">
        <v>21</v>
      </c>
      <c r="B29" s="173" t="s">
        <v>75</v>
      </c>
      <c r="C29" s="174"/>
      <c r="D29" s="175" t="s">
        <v>76</v>
      </c>
      <c r="E29" s="140" t="s">
        <v>38</v>
      </c>
      <c r="F29" s="129" t="s">
        <v>39</v>
      </c>
      <c r="G29" s="59">
        <v>16016713.970000001</v>
      </c>
      <c r="H29" s="176">
        <f t="shared" si="2"/>
        <v>2.0991708160530028E-2</v>
      </c>
      <c r="I29" s="130">
        <v>7.6E-3</v>
      </c>
      <c r="J29" s="177"/>
      <c r="K29" s="178"/>
      <c r="L29" s="126" t="s">
        <v>71</v>
      </c>
      <c r="M29" s="179">
        <v>223876304.69999999</v>
      </c>
      <c r="N29" s="133">
        <f t="shared" si="3"/>
        <v>7.1542694040187996E-2</v>
      </c>
      <c r="O29" s="660"/>
      <c r="P29" s="663"/>
      <c r="Q29" s="665"/>
      <c r="R29" s="665"/>
      <c r="S29" s="677"/>
      <c r="T29" s="67"/>
      <c r="U29" s="67"/>
      <c r="V29" s="66"/>
      <c r="W29" s="67"/>
      <c r="X29" s="67"/>
      <c r="Y29" s="97"/>
    </row>
    <row r="30" spans="1:25" s="1" customFormat="1" ht="16.5" thickBot="1" x14ac:dyDescent="0.3">
      <c r="A30" s="8">
        <v>22</v>
      </c>
      <c r="B30" s="55" t="s">
        <v>55</v>
      </c>
      <c r="C30" s="105" t="s">
        <v>77</v>
      </c>
      <c r="D30" s="71" t="s">
        <v>78</v>
      </c>
      <c r="E30" s="140" t="s">
        <v>38</v>
      </c>
      <c r="F30" s="140" t="s">
        <v>38</v>
      </c>
      <c r="G30" s="141">
        <v>6313876.4500000002</v>
      </c>
      <c r="H30" s="142">
        <f t="shared" si="2"/>
        <v>8.2750464326387281E-3</v>
      </c>
      <c r="I30" s="74">
        <v>5.7000000000000002E-3</v>
      </c>
      <c r="J30" s="143"/>
      <c r="K30" s="144"/>
      <c r="L30" s="126" t="s">
        <v>71</v>
      </c>
      <c r="M30" s="85">
        <v>10907536241.889999</v>
      </c>
      <c r="N30" s="133">
        <f t="shared" si="3"/>
        <v>5.7885450114314408E-4</v>
      </c>
      <c r="O30" s="660"/>
      <c r="P30" s="663"/>
      <c r="Q30" s="665"/>
      <c r="R30" s="665"/>
      <c r="S30" s="677"/>
      <c r="T30" s="67"/>
      <c r="U30" s="67"/>
      <c r="V30" s="66"/>
      <c r="W30" s="67"/>
      <c r="X30" s="67"/>
      <c r="Y30" s="97"/>
    </row>
    <row r="31" spans="1:25" s="1" customFormat="1" ht="15.75" x14ac:dyDescent="0.25">
      <c r="A31" s="8">
        <v>23</v>
      </c>
      <c r="B31" s="55" t="s">
        <v>55</v>
      </c>
      <c r="C31" s="105" t="s">
        <v>36</v>
      </c>
      <c r="D31" s="71" t="s">
        <v>79</v>
      </c>
      <c r="E31" s="140" t="s">
        <v>38</v>
      </c>
      <c r="F31" s="140" t="s">
        <v>39</v>
      </c>
      <c r="G31" s="141">
        <v>26323501.539999999</v>
      </c>
      <c r="H31" s="142">
        <f t="shared" si="2"/>
        <v>3.4499914472215724E-2</v>
      </c>
      <c r="I31" s="74">
        <v>1.49E-2</v>
      </c>
      <c r="J31" s="143"/>
      <c r="K31" s="144"/>
      <c r="L31" s="145" t="s">
        <v>80</v>
      </c>
      <c r="M31" s="85">
        <v>1473930062</v>
      </c>
      <c r="N31" s="133">
        <f t="shared" si="3"/>
        <v>1.7859396601410792E-2</v>
      </c>
      <c r="O31" s="660"/>
      <c r="P31" s="663"/>
      <c r="Q31" s="665"/>
      <c r="R31" s="665"/>
      <c r="S31" s="677"/>
      <c r="T31" s="67"/>
      <c r="U31" s="67"/>
      <c r="V31" s="66"/>
      <c r="W31" s="67"/>
      <c r="X31" s="67"/>
      <c r="Y31" s="97"/>
    </row>
    <row r="32" spans="1:25" s="1" customFormat="1" ht="15.75" x14ac:dyDescent="0.25">
      <c r="A32" s="8">
        <v>24</v>
      </c>
      <c r="B32" s="173" t="s">
        <v>62</v>
      </c>
      <c r="C32" s="180"/>
      <c r="D32" s="505" t="s">
        <v>81</v>
      </c>
      <c r="E32" s="129" t="s">
        <v>38</v>
      </c>
      <c r="F32" s="209" t="s">
        <v>38</v>
      </c>
      <c r="G32" s="241">
        <v>13728407.02</v>
      </c>
      <c r="H32" s="506">
        <f t="shared" si="2"/>
        <v>1.7992624093343394E-2</v>
      </c>
      <c r="I32" s="130">
        <v>5.7000000000000002E-3</v>
      </c>
      <c r="J32" s="211"/>
      <c r="K32" s="232"/>
      <c r="L32" s="126" t="s">
        <v>71</v>
      </c>
      <c r="M32" s="179">
        <v>9348518776.5200005</v>
      </c>
      <c r="N32" s="146">
        <f t="shared" si="3"/>
        <v>1.4685114667021527E-3</v>
      </c>
      <c r="O32" s="660"/>
      <c r="P32" s="663"/>
      <c r="Q32" s="665"/>
      <c r="R32" s="665"/>
      <c r="S32" s="677"/>
      <c r="T32" s="67"/>
      <c r="U32" s="67"/>
      <c r="V32" s="66"/>
      <c r="W32" s="67"/>
      <c r="X32" s="67"/>
      <c r="Y32" s="97"/>
    </row>
    <row r="33" spans="1:25" s="1" customFormat="1" ht="15.75" x14ac:dyDescent="0.25">
      <c r="A33" s="8"/>
      <c r="B33" s="55" t="s">
        <v>62</v>
      </c>
      <c r="C33" s="157" t="s">
        <v>63</v>
      </c>
      <c r="D33" s="158" t="s">
        <v>64</v>
      </c>
      <c r="E33" s="119" t="s">
        <v>38</v>
      </c>
      <c r="F33" s="119" t="s">
        <v>39</v>
      </c>
      <c r="G33" s="59">
        <v>47692504.850000001</v>
      </c>
      <c r="H33" s="73">
        <f t="shared" si="2"/>
        <v>6.2506400821732533E-2</v>
      </c>
      <c r="I33" s="177">
        <v>3.39E-2</v>
      </c>
      <c r="J33" s="390"/>
      <c r="K33" s="391"/>
      <c r="L33" s="160" t="s">
        <v>40</v>
      </c>
      <c r="M33" s="127">
        <v>1445928639.25</v>
      </c>
      <c r="N33" s="133">
        <f>G33/M33</f>
        <v>3.2983996274351411E-2</v>
      </c>
      <c r="O33" s="660"/>
      <c r="P33" s="663"/>
      <c r="Q33" s="665"/>
      <c r="R33" s="665"/>
      <c r="S33" s="677"/>
      <c r="T33" s="67"/>
      <c r="U33" s="67"/>
      <c r="V33" s="66"/>
      <c r="W33" s="67"/>
      <c r="X33" s="67"/>
      <c r="Y33" s="97"/>
    </row>
    <row r="34" spans="1:25" s="1" customFormat="1" ht="16.5" thickBot="1" x14ac:dyDescent="0.3">
      <c r="A34" s="8"/>
      <c r="B34" s="511" t="s">
        <v>62</v>
      </c>
      <c r="C34" s="157" t="s">
        <v>65</v>
      </c>
      <c r="D34" s="512" t="s">
        <v>66</v>
      </c>
      <c r="E34" s="389" t="s">
        <v>38</v>
      </c>
      <c r="F34" s="389" t="s">
        <v>39</v>
      </c>
      <c r="G34" s="371">
        <v>27219032.09</v>
      </c>
      <c r="H34" s="95">
        <f t="shared" si="2"/>
        <v>3.567360815180879E-2</v>
      </c>
      <c r="I34" s="394">
        <v>1.32E-2</v>
      </c>
      <c r="J34" s="196"/>
      <c r="K34" s="197"/>
      <c r="L34" s="374" t="s">
        <v>53</v>
      </c>
      <c r="M34" s="139">
        <v>321114531.17000002</v>
      </c>
      <c r="N34" s="146">
        <f>G34/M34</f>
        <v>8.4764249038577696E-2</v>
      </c>
      <c r="O34" s="661"/>
      <c r="P34" s="664"/>
      <c r="Q34" s="656"/>
      <c r="R34" s="656"/>
      <c r="S34" s="658"/>
      <c r="T34" s="67"/>
      <c r="U34" s="67"/>
      <c r="V34" s="66"/>
      <c r="W34" s="67"/>
      <c r="X34" s="67"/>
      <c r="Y34" s="97"/>
    </row>
    <row r="35" spans="1:25" s="1" customFormat="1" ht="16.5" thickBot="1" x14ac:dyDescent="0.3">
      <c r="A35" s="8"/>
      <c r="B35" s="414" t="s">
        <v>178</v>
      </c>
      <c r="C35" s="406"/>
      <c r="D35" s="409"/>
      <c r="E35" s="413"/>
      <c r="F35" s="413"/>
      <c r="G35" s="387"/>
      <c r="H35" s="260"/>
      <c r="I35" s="44"/>
      <c r="J35" s="260"/>
      <c r="K35" s="183"/>
      <c r="L35" s="398"/>
      <c r="M35" s="507"/>
      <c r="N35" s="508"/>
      <c r="O35" s="400" t="s">
        <v>60</v>
      </c>
      <c r="P35" s="384">
        <v>0</v>
      </c>
      <c r="Q35" s="200">
        <v>0.4</v>
      </c>
      <c r="R35" s="201">
        <v>0</v>
      </c>
      <c r="S35" s="202" t="s">
        <v>179</v>
      </c>
      <c r="T35" s="67"/>
      <c r="U35" s="67"/>
      <c r="V35" s="66"/>
      <c r="W35" s="67"/>
      <c r="X35" s="67"/>
      <c r="Y35" s="97"/>
    </row>
    <row r="36" spans="1:25" s="1" customFormat="1" ht="16.5" thickBot="1" x14ac:dyDescent="0.3">
      <c r="A36" s="8"/>
      <c r="B36" s="503" t="s">
        <v>182</v>
      </c>
      <c r="C36" s="406"/>
      <c r="D36" s="504"/>
      <c r="E36" s="413"/>
      <c r="F36" s="413"/>
      <c r="G36" s="387"/>
      <c r="H36" s="260"/>
      <c r="I36" s="44"/>
      <c r="J36" s="260"/>
      <c r="K36" s="183"/>
      <c r="L36" s="398"/>
      <c r="M36" s="185"/>
      <c r="N36" s="260"/>
      <c r="O36" s="399" t="s">
        <v>60</v>
      </c>
      <c r="P36" s="384">
        <v>0</v>
      </c>
      <c r="Q36" s="201">
        <v>0.2</v>
      </c>
      <c r="R36" s="103">
        <v>0</v>
      </c>
      <c r="S36" s="202" t="s">
        <v>183</v>
      </c>
      <c r="T36" s="67"/>
      <c r="U36" s="67"/>
      <c r="V36" s="66"/>
      <c r="W36" s="67"/>
      <c r="X36" s="67"/>
      <c r="Y36" s="97"/>
    </row>
    <row r="37" spans="1:25" s="1" customFormat="1" ht="16.5" thickBot="1" x14ac:dyDescent="0.3">
      <c r="A37" s="8"/>
      <c r="B37" s="411" t="s">
        <v>184</v>
      </c>
      <c r="C37" s="406"/>
      <c r="D37" s="504"/>
      <c r="E37" s="413"/>
      <c r="F37" s="413"/>
      <c r="G37" s="377"/>
      <c r="H37" s="260"/>
      <c r="I37" s="44"/>
      <c r="J37" s="260"/>
      <c r="K37" s="183"/>
      <c r="L37" s="398"/>
      <c r="M37" s="185"/>
      <c r="N37" s="260"/>
      <c r="O37" s="369" t="s">
        <v>60</v>
      </c>
      <c r="P37" s="362">
        <v>0</v>
      </c>
      <c r="Q37" s="102">
        <v>0.15</v>
      </c>
      <c r="R37" s="103">
        <v>0</v>
      </c>
      <c r="S37" s="202" t="s">
        <v>186</v>
      </c>
      <c r="T37" s="67"/>
      <c r="U37" s="67"/>
      <c r="V37" s="66"/>
      <c r="W37" s="67"/>
      <c r="X37" s="67"/>
      <c r="Y37" s="97"/>
    </row>
    <row r="38" spans="1:25" s="1" customFormat="1" ht="16.5" thickBot="1" x14ac:dyDescent="0.3">
      <c r="A38" s="8"/>
      <c r="B38" s="411" t="s">
        <v>185</v>
      </c>
      <c r="C38" s="509"/>
      <c r="D38" s="504"/>
      <c r="E38" s="413"/>
      <c r="F38" s="413"/>
      <c r="G38" s="377"/>
      <c r="H38" s="260"/>
      <c r="I38" s="44"/>
      <c r="J38" s="260"/>
      <c r="K38" s="183"/>
      <c r="L38" s="398"/>
      <c r="M38" s="185"/>
      <c r="N38" s="260"/>
      <c r="O38" s="369" t="s">
        <v>60</v>
      </c>
      <c r="P38" s="362">
        <v>0</v>
      </c>
      <c r="Q38" s="102">
        <v>0.15</v>
      </c>
      <c r="R38" s="103">
        <v>0</v>
      </c>
      <c r="S38" s="202" t="s">
        <v>187</v>
      </c>
      <c r="T38" s="67"/>
      <c r="U38" s="67"/>
      <c r="V38" s="66"/>
      <c r="W38" s="67"/>
      <c r="X38" s="67"/>
      <c r="Y38" s="97"/>
    </row>
    <row r="39" spans="1:25" s="54" customFormat="1" ht="16.5" thickBot="1" x14ac:dyDescent="0.25">
      <c r="A39" s="40"/>
      <c r="B39" s="510" t="s">
        <v>188</v>
      </c>
      <c r="C39" s="403"/>
      <c r="D39" s="404"/>
      <c r="E39" s="404"/>
      <c r="F39" s="404"/>
      <c r="G39" s="43">
        <f>SUM(G40:G42)</f>
        <v>7050010</v>
      </c>
      <c r="H39" s="44">
        <f>G39/$G$70</f>
        <v>9.2398323854701574E-3</v>
      </c>
      <c r="I39" s="98"/>
      <c r="J39" s="45"/>
      <c r="K39" s="45"/>
      <c r="L39" s="187"/>
      <c r="M39" s="188"/>
      <c r="N39" s="189"/>
      <c r="O39" s="190"/>
      <c r="P39" s="191"/>
      <c r="Q39" s="363"/>
      <c r="R39" s="51"/>
      <c r="S39" s="152"/>
      <c r="T39" s="53"/>
      <c r="U39" s="53"/>
      <c r="V39" s="53"/>
      <c r="W39" s="53"/>
      <c r="X39" s="53"/>
      <c r="Y39" s="53"/>
    </row>
    <row r="40" spans="1:25" s="1" customFormat="1" ht="16.5" thickBot="1" x14ac:dyDescent="0.3">
      <c r="A40" s="8">
        <v>25</v>
      </c>
      <c r="B40" s="104" t="s">
        <v>82</v>
      </c>
      <c r="C40" s="118"/>
      <c r="D40" s="208" t="s">
        <v>83</v>
      </c>
      <c r="E40" s="120" t="s">
        <v>84</v>
      </c>
      <c r="F40" s="120" t="s">
        <v>85</v>
      </c>
      <c r="G40" s="427">
        <v>6930698.3399999999</v>
      </c>
      <c r="H40" s="225">
        <f>G40/$G$70</f>
        <v>9.0834610129427139E-3</v>
      </c>
      <c r="I40" s="177">
        <v>6.7000000000000002E-3</v>
      </c>
      <c r="J40" s="234"/>
      <c r="K40" s="429"/>
      <c r="L40" s="126" t="s">
        <v>71</v>
      </c>
      <c r="M40" s="78">
        <v>406695269.16000003</v>
      </c>
      <c r="N40" s="216">
        <f>G40/M40</f>
        <v>1.7041502239047091E-2</v>
      </c>
      <c r="O40" s="698" t="s">
        <v>60</v>
      </c>
      <c r="P40" s="662">
        <f>SUM(G40:G42)/G70</f>
        <v>9.2398323854701574E-3</v>
      </c>
      <c r="Q40" s="701">
        <v>0.05</v>
      </c>
      <c r="R40" s="675">
        <v>0.02</v>
      </c>
      <c r="S40" s="657" t="s">
        <v>193</v>
      </c>
      <c r="T40" s="67"/>
      <c r="U40" s="67"/>
      <c r="V40" s="67"/>
      <c r="W40" s="67"/>
      <c r="X40" s="66"/>
      <c r="Y40" s="68"/>
    </row>
    <row r="41" spans="1:25" s="1" customFormat="1" ht="15.75" customHeight="1" x14ac:dyDescent="0.25">
      <c r="A41" s="8">
        <v>26</v>
      </c>
      <c r="B41" s="117" t="s">
        <v>86</v>
      </c>
      <c r="C41" s="105" t="s">
        <v>87</v>
      </c>
      <c r="D41" s="71" t="s">
        <v>88</v>
      </c>
      <c r="E41" s="129" t="s">
        <v>89</v>
      </c>
      <c r="F41" s="129" t="s">
        <v>89</v>
      </c>
      <c r="G41" s="59">
        <v>42814.93</v>
      </c>
      <c r="H41" s="82">
        <f>G41/$G$70</f>
        <v>5.611378945499905E-5</v>
      </c>
      <c r="I41" s="428">
        <v>-0.53390000000000004</v>
      </c>
      <c r="J41" s="124"/>
      <c r="K41" s="430"/>
      <c r="L41" s="132" t="s">
        <v>71</v>
      </c>
      <c r="M41" s="431">
        <v>999016.7</v>
      </c>
      <c r="N41" s="133">
        <f>G41/M41</f>
        <v>4.2857071358266587E-2</v>
      </c>
      <c r="O41" s="699"/>
      <c r="P41" s="663"/>
      <c r="Q41" s="702"/>
      <c r="R41" s="697"/>
      <c r="S41" s="677"/>
      <c r="T41" s="67"/>
      <c r="U41" s="67"/>
      <c r="V41" s="66"/>
      <c r="W41" s="67"/>
      <c r="X41" s="66"/>
      <c r="Y41" s="68"/>
    </row>
    <row r="42" spans="1:25" s="1" customFormat="1" ht="16.5" thickBot="1" x14ac:dyDescent="0.3">
      <c r="A42" s="8">
        <v>27</v>
      </c>
      <c r="B42" s="192" t="s">
        <v>90</v>
      </c>
      <c r="C42" s="118"/>
      <c r="D42" s="92" t="s">
        <v>91</v>
      </c>
      <c r="E42" s="193" t="s">
        <v>89</v>
      </c>
      <c r="F42" s="193" t="s">
        <v>89</v>
      </c>
      <c r="G42" s="194">
        <v>76496.73</v>
      </c>
      <c r="H42" s="195">
        <f>G42/$G$70</f>
        <v>1.002575830724448E-4</v>
      </c>
      <c r="I42" s="203">
        <v>-3.78E-2</v>
      </c>
      <c r="J42" s="161"/>
      <c r="K42" s="204"/>
      <c r="L42" s="184" t="s">
        <v>71</v>
      </c>
      <c r="M42" s="198">
        <v>1539221.89</v>
      </c>
      <c r="N42" s="186">
        <f>G42/M42</f>
        <v>4.9698312177719875E-2</v>
      </c>
      <c r="O42" s="700"/>
      <c r="P42" s="664"/>
      <c r="Q42" s="703"/>
      <c r="R42" s="676"/>
      <c r="S42" s="658"/>
      <c r="T42" s="67"/>
      <c r="U42" s="67"/>
      <c r="V42" s="66"/>
      <c r="W42" s="67"/>
      <c r="X42" s="66"/>
      <c r="Y42" s="68"/>
    </row>
    <row r="43" spans="1:25" s="1" customFormat="1" ht="16.5" thickBot="1" x14ac:dyDescent="0.3">
      <c r="A43" s="8"/>
      <c r="B43" s="414" t="s">
        <v>189</v>
      </c>
      <c r="C43" s="406"/>
      <c r="D43" s="415"/>
      <c r="E43" s="413"/>
      <c r="F43" s="413"/>
      <c r="G43" s="366"/>
      <c r="H43" s="260"/>
      <c r="I43" s="401"/>
      <c r="J43" s="260"/>
      <c r="K43" s="183"/>
      <c r="L43" s="398"/>
      <c r="M43" s="185"/>
      <c r="N43" s="44"/>
      <c r="O43" s="392" t="s">
        <v>60</v>
      </c>
      <c r="P43" s="384">
        <v>0</v>
      </c>
      <c r="Q43" s="200">
        <v>0.05</v>
      </c>
      <c r="R43" s="201">
        <v>0.01</v>
      </c>
      <c r="S43" s="359" t="s">
        <v>191</v>
      </c>
      <c r="T43" s="67"/>
      <c r="U43" s="67"/>
      <c r="V43" s="66"/>
      <c r="W43" s="67"/>
      <c r="X43" s="66"/>
      <c r="Y43" s="68"/>
    </row>
    <row r="44" spans="1:25" s="1" customFormat="1" ht="16.5" thickBot="1" x14ac:dyDescent="0.3">
      <c r="A44" s="8"/>
      <c r="B44" s="414" t="s">
        <v>190</v>
      </c>
      <c r="C44" s="406"/>
      <c r="D44" s="415"/>
      <c r="E44" s="413"/>
      <c r="F44" s="413"/>
      <c r="G44" s="366"/>
      <c r="H44" s="260"/>
      <c r="I44" s="401"/>
      <c r="J44" s="260"/>
      <c r="K44" s="183"/>
      <c r="L44" s="398"/>
      <c r="M44" s="185"/>
      <c r="N44" s="260"/>
      <c r="O44" s="392" t="s">
        <v>60</v>
      </c>
      <c r="P44" s="384">
        <v>0</v>
      </c>
      <c r="Q44" s="200">
        <v>0.05</v>
      </c>
      <c r="R44" s="201">
        <v>0</v>
      </c>
      <c r="S44" s="359" t="s">
        <v>192</v>
      </c>
      <c r="T44" s="67"/>
      <c r="U44" s="67"/>
      <c r="V44" s="66"/>
      <c r="W44" s="67"/>
      <c r="X44" s="66"/>
      <c r="Y44" s="68"/>
    </row>
    <row r="45" spans="1:25" s="54" customFormat="1" ht="16.5" thickBot="1" x14ac:dyDescent="0.25">
      <c r="A45" s="40"/>
      <c r="B45" s="402" t="s">
        <v>194</v>
      </c>
      <c r="C45" s="403"/>
      <c r="D45" s="404"/>
      <c r="E45" s="404"/>
      <c r="F45" s="404"/>
      <c r="G45" s="43">
        <f>SUM(G46:G47)</f>
        <v>50719488</v>
      </c>
      <c r="H45" s="44">
        <f t="shared" ref="H45:H51" si="4">G45/$G$70</f>
        <v>6.6473603271040044E-2</v>
      </c>
      <c r="I45" s="98"/>
      <c r="J45" s="45"/>
      <c r="K45" s="45"/>
      <c r="L45" s="45"/>
      <c r="M45" s="148"/>
      <c r="N45" s="101"/>
      <c r="O45" s="42"/>
      <c r="P45" s="205">
        <f>SUM((G4+G11+G22+G24+G39)/G70)*100</f>
        <v>78.15796729474242</v>
      </c>
      <c r="Q45" s="50"/>
      <c r="R45" s="364"/>
      <c r="S45" s="152"/>
      <c r="T45" s="53"/>
      <c r="U45" s="53"/>
      <c r="V45" s="53"/>
      <c r="W45" s="53"/>
      <c r="X45" s="53"/>
      <c r="Y45" s="53"/>
    </row>
    <row r="46" spans="1:25" s="1" customFormat="1" ht="15.75" x14ac:dyDescent="0.25">
      <c r="A46" s="8">
        <v>28</v>
      </c>
      <c r="B46" s="206" t="s">
        <v>55</v>
      </c>
      <c r="C46" s="207"/>
      <c r="D46" s="208" t="s">
        <v>92</v>
      </c>
      <c r="E46" s="209" t="s">
        <v>93</v>
      </c>
      <c r="F46" s="209" t="s">
        <v>94</v>
      </c>
      <c r="G46" s="210">
        <v>39081745.590000004</v>
      </c>
      <c r="H46" s="82">
        <f t="shared" si="4"/>
        <v>5.1221030691188746E-2</v>
      </c>
      <c r="I46" s="211">
        <v>9.7100000000000006E-2</v>
      </c>
      <c r="J46" s="112"/>
      <c r="K46" s="125"/>
      <c r="L46" s="145" t="s">
        <v>95</v>
      </c>
      <c r="M46" s="436">
        <v>580590845.73000002</v>
      </c>
      <c r="N46" s="434">
        <f>G46/M46</f>
        <v>6.7313747499516574E-2</v>
      </c>
      <c r="O46" s="678" t="s">
        <v>96</v>
      </c>
      <c r="P46" s="680">
        <f>(SUM(G46:G47)/G70)</f>
        <v>6.6473603271040044E-2</v>
      </c>
      <c r="Q46" s="655">
        <v>0.3</v>
      </c>
      <c r="R46" s="655">
        <v>0.15</v>
      </c>
      <c r="S46" s="666" t="s">
        <v>196</v>
      </c>
      <c r="T46" s="67"/>
      <c r="U46" s="67"/>
      <c r="V46" s="66"/>
      <c r="W46" s="67"/>
      <c r="X46" s="67"/>
      <c r="Y46" s="212"/>
    </row>
    <row r="47" spans="1:25" s="1" customFormat="1" ht="16.5" thickBot="1" x14ac:dyDescent="0.3">
      <c r="A47" s="8">
        <v>29</v>
      </c>
      <c r="B47" s="55" t="s">
        <v>97</v>
      </c>
      <c r="C47" s="207"/>
      <c r="D47" s="71" t="s">
        <v>98</v>
      </c>
      <c r="E47" s="129" t="s">
        <v>39</v>
      </c>
      <c r="F47" s="129" t="s">
        <v>49</v>
      </c>
      <c r="G47" s="121">
        <v>11637742.41</v>
      </c>
      <c r="H47" s="122">
        <f t="shared" si="4"/>
        <v>1.5252572579851308E-2</v>
      </c>
      <c r="I47" s="159">
        <v>8.09E-2</v>
      </c>
      <c r="J47" s="124"/>
      <c r="K47" s="213"/>
      <c r="L47" s="132" t="s">
        <v>99</v>
      </c>
      <c r="M47" s="437">
        <v>77802138.049999997</v>
      </c>
      <c r="N47" s="435">
        <f>G47/M47</f>
        <v>0.14958126732353985</v>
      </c>
      <c r="O47" s="679"/>
      <c r="P47" s="681"/>
      <c r="Q47" s="665"/>
      <c r="R47" s="665"/>
      <c r="S47" s="667"/>
      <c r="T47" s="67"/>
      <c r="U47" s="67"/>
      <c r="V47" s="66"/>
      <c r="W47" s="67"/>
      <c r="X47" s="67"/>
      <c r="Y47" s="212"/>
    </row>
    <row r="48" spans="1:25" s="1" customFormat="1" ht="16.5" thickBot="1" x14ac:dyDescent="0.3">
      <c r="A48" s="217"/>
      <c r="B48" s="402" t="s">
        <v>199</v>
      </c>
      <c r="C48" s="403"/>
      <c r="D48" s="404"/>
      <c r="E48" s="404"/>
      <c r="F48" s="404"/>
      <c r="G48" s="43">
        <f>SUM(G49)</f>
        <v>7550441.29</v>
      </c>
      <c r="H48" s="219">
        <f t="shared" si="4"/>
        <v>9.8957039714742366E-3</v>
      </c>
      <c r="I48" s="98"/>
      <c r="J48" s="45"/>
      <c r="K48" s="45"/>
      <c r="L48" s="45"/>
      <c r="M48" s="148"/>
      <c r="N48" s="149"/>
      <c r="O48" s="42"/>
      <c r="P48" s="191"/>
      <c r="Q48" s="50"/>
      <c r="R48" s="254"/>
      <c r="S48" s="220"/>
      <c r="T48" s="67"/>
      <c r="U48" s="67"/>
      <c r="V48" s="66"/>
      <c r="W48" s="67"/>
      <c r="X48" s="67"/>
      <c r="Y48" s="212"/>
    </row>
    <row r="49" spans="1:25" s="1" customFormat="1" ht="16.5" thickBot="1" x14ac:dyDescent="0.3">
      <c r="A49" s="217">
        <v>31</v>
      </c>
      <c r="B49" s="221" t="s">
        <v>50</v>
      </c>
      <c r="C49" s="118"/>
      <c r="D49" s="222" t="s">
        <v>101</v>
      </c>
      <c r="E49" s="223" t="s">
        <v>39</v>
      </c>
      <c r="F49" s="129" t="s">
        <v>49</v>
      </c>
      <c r="G49" s="224">
        <v>7550441.29</v>
      </c>
      <c r="H49" s="225">
        <f t="shared" si="4"/>
        <v>9.8957039714742366E-3</v>
      </c>
      <c r="I49" s="74">
        <v>0.109094</v>
      </c>
      <c r="J49" s="171"/>
      <c r="K49" s="226"/>
      <c r="L49" s="145" t="s">
        <v>95</v>
      </c>
      <c r="M49" s="214">
        <v>39096531.579999998</v>
      </c>
      <c r="N49" s="522">
        <f>G49/M49</f>
        <v>0.19312304659430354</v>
      </c>
      <c r="O49" s="227" t="s">
        <v>96</v>
      </c>
      <c r="P49" s="228">
        <f>G49/G70</f>
        <v>9.8957039714742366E-3</v>
      </c>
      <c r="Q49" s="229">
        <v>0.3</v>
      </c>
      <c r="R49" s="230">
        <v>0.02</v>
      </c>
      <c r="S49" s="359" t="s">
        <v>195</v>
      </c>
      <c r="T49" s="67"/>
      <c r="U49" s="67"/>
      <c r="V49" s="66"/>
      <c r="W49" s="67"/>
      <c r="X49" s="67"/>
      <c r="Y49" s="212"/>
    </row>
    <row r="50" spans="1:25" s="54" customFormat="1" ht="16.5" thickBot="1" x14ac:dyDescent="0.25">
      <c r="A50" s="40"/>
      <c r="B50" s="402" t="s">
        <v>197</v>
      </c>
      <c r="C50" s="403"/>
      <c r="D50" s="404"/>
      <c r="E50" s="404"/>
      <c r="F50" s="404"/>
      <c r="G50" s="43">
        <f>SUM(G51:G55)</f>
        <v>63355269.729999997</v>
      </c>
      <c r="H50" s="44">
        <f t="shared" si="4"/>
        <v>8.3034218822590489E-2</v>
      </c>
      <c r="I50" s="98"/>
      <c r="J50" s="29"/>
      <c r="K50" s="45"/>
      <c r="L50" s="45"/>
      <c r="M50" s="148"/>
      <c r="N50" s="149"/>
      <c r="O50" s="41"/>
      <c r="P50" s="49"/>
      <c r="Q50" s="50"/>
      <c r="R50" s="49"/>
      <c r="S50" s="516"/>
      <c r="T50" s="53"/>
      <c r="U50" s="53"/>
      <c r="V50" s="53"/>
      <c r="W50" s="53"/>
      <c r="X50" s="53"/>
      <c r="Y50" s="53"/>
    </row>
    <row r="51" spans="1:25" s="1" customFormat="1" ht="15.75" x14ac:dyDescent="0.25">
      <c r="A51" s="8">
        <v>34</v>
      </c>
      <c r="B51" s="55" t="s">
        <v>107</v>
      </c>
      <c r="C51" s="231"/>
      <c r="D51" s="71" t="s">
        <v>108</v>
      </c>
      <c r="E51" s="140" t="s">
        <v>39</v>
      </c>
      <c r="F51" s="140" t="s">
        <v>49</v>
      </c>
      <c r="G51" s="59">
        <v>10077348.43</v>
      </c>
      <c r="H51" s="82">
        <f t="shared" si="4"/>
        <v>1.3207500469244845E-2</v>
      </c>
      <c r="I51" s="123">
        <v>0.1255</v>
      </c>
      <c r="J51" s="211"/>
      <c r="K51" s="178"/>
      <c r="L51" s="126" t="s">
        <v>95</v>
      </c>
      <c r="M51" s="237">
        <v>190859592.62</v>
      </c>
      <c r="N51" s="82">
        <f t="shared" ref="N51:N55" si="5">G51/M51</f>
        <v>5.2799800584631469E-2</v>
      </c>
      <c r="O51" s="659" t="s">
        <v>96</v>
      </c>
      <c r="P51" s="662">
        <f>(SUM(G51:G55)/G70)</f>
        <v>8.3034218822590489E-2</v>
      </c>
      <c r="Q51" s="655">
        <v>0.2</v>
      </c>
      <c r="R51" s="655">
        <v>0.15</v>
      </c>
      <c r="S51" s="666" t="s">
        <v>233</v>
      </c>
      <c r="T51" s="514"/>
      <c r="U51" s="67"/>
      <c r="V51" s="66"/>
      <c r="W51" s="67"/>
      <c r="X51" s="67"/>
      <c r="Y51" s="212"/>
    </row>
    <row r="52" spans="1:25" s="1" customFormat="1" ht="19.5" thickBot="1" x14ac:dyDescent="0.3">
      <c r="A52" s="8"/>
      <c r="B52" s="69" t="s">
        <v>113</v>
      </c>
      <c r="C52" s="70" t="s">
        <v>114</v>
      </c>
      <c r="D52" s="87" t="s">
        <v>115</v>
      </c>
      <c r="E52" s="223" t="s">
        <v>39</v>
      </c>
      <c r="F52" s="223" t="s">
        <v>49</v>
      </c>
      <c r="G52" s="241">
        <v>22689739.140000001</v>
      </c>
      <c r="H52" s="73">
        <f t="shared" ref="H52:H54" si="6">G52/$G$70</f>
        <v>2.9737459453765571E-2</v>
      </c>
      <c r="I52" s="74">
        <v>0.1202</v>
      </c>
      <c r="J52" s="211"/>
      <c r="K52" s="433"/>
      <c r="L52" s="126" t="s">
        <v>95</v>
      </c>
      <c r="M52" s="438">
        <v>188751910.16999999</v>
      </c>
      <c r="N52" s="435">
        <f t="shared" si="5"/>
        <v>0.1202093219589906</v>
      </c>
      <c r="O52" s="660"/>
      <c r="P52" s="663"/>
      <c r="Q52" s="665"/>
      <c r="R52" s="665"/>
      <c r="S52" s="667"/>
      <c r="T52" s="514"/>
      <c r="U52" s="67"/>
      <c r="V52" s="66"/>
      <c r="W52" s="67"/>
      <c r="X52" s="67"/>
      <c r="Y52" s="212"/>
    </row>
    <row r="53" spans="1:25" s="1" customFormat="1" ht="15.75" x14ac:dyDescent="0.25">
      <c r="A53" s="8"/>
      <c r="B53" s="55" t="s">
        <v>75</v>
      </c>
      <c r="C53" s="231"/>
      <c r="D53" s="71" t="s">
        <v>103</v>
      </c>
      <c r="E53" s="140" t="s">
        <v>104</v>
      </c>
      <c r="F53" s="432" t="s">
        <v>105</v>
      </c>
      <c r="G53" s="59">
        <v>20642212.789999999</v>
      </c>
      <c r="H53" s="73">
        <f t="shared" si="6"/>
        <v>2.7053945490121051E-2</v>
      </c>
      <c r="I53" s="123">
        <v>9.2200000000000004E-2</v>
      </c>
      <c r="J53" s="177"/>
      <c r="K53" s="178"/>
      <c r="L53" s="132" t="s">
        <v>95</v>
      </c>
      <c r="M53" s="239">
        <v>493662489.12</v>
      </c>
      <c r="N53" s="435">
        <f t="shared" si="5"/>
        <v>4.1814424318113969E-2</v>
      </c>
      <c r="O53" s="660"/>
      <c r="P53" s="663"/>
      <c r="Q53" s="665"/>
      <c r="R53" s="665"/>
      <c r="S53" s="667"/>
      <c r="T53" s="514"/>
      <c r="U53" s="67"/>
      <c r="V53" s="66"/>
      <c r="W53" s="67"/>
      <c r="X53" s="67"/>
      <c r="Y53" s="212"/>
    </row>
    <row r="54" spans="1:25" s="1" customFormat="1" ht="16.5" thickBot="1" x14ac:dyDescent="0.3">
      <c r="A54" s="8"/>
      <c r="B54" s="55" t="s">
        <v>75</v>
      </c>
      <c r="C54" s="231"/>
      <c r="D54" s="71" t="s">
        <v>106</v>
      </c>
      <c r="E54" s="140" t="s">
        <v>39</v>
      </c>
      <c r="F54" s="140" t="s">
        <v>49</v>
      </c>
      <c r="G54" s="59">
        <v>2730541.68</v>
      </c>
      <c r="H54" s="225">
        <f t="shared" si="6"/>
        <v>3.5786825046688012E-3</v>
      </c>
      <c r="I54" s="123">
        <v>0.13789999999999999</v>
      </c>
      <c r="J54" s="234"/>
      <c r="K54" s="235"/>
      <c r="L54" s="236" t="s">
        <v>95</v>
      </c>
      <c r="M54" s="439">
        <v>236114205.46000001</v>
      </c>
      <c r="N54" s="435">
        <f t="shared" si="5"/>
        <v>1.1564495557056095E-2</v>
      </c>
      <c r="O54" s="660"/>
      <c r="P54" s="663"/>
      <c r="Q54" s="665"/>
      <c r="R54" s="665"/>
      <c r="S54" s="667"/>
      <c r="T54" s="514"/>
      <c r="U54" s="67"/>
      <c r="V54" s="66"/>
      <c r="W54" s="67"/>
      <c r="X54" s="67"/>
      <c r="Y54" s="212"/>
    </row>
    <row r="55" spans="1:25" s="1" customFormat="1" ht="16.5" thickBot="1" x14ac:dyDescent="0.3">
      <c r="A55" s="8">
        <v>35</v>
      </c>
      <c r="B55" s="206" t="s">
        <v>50</v>
      </c>
      <c r="C55" s="118"/>
      <c r="D55" s="215" t="s">
        <v>109</v>
      </c>
      <c r="E55" s="120" t="s">
        <v>110</v>
      </c>
      <c r="F55" s="120" t="s">
        <v>111</v>
      </c>
      <c r="G55" s="238">
        <v>7215427.6900000004</v>
      </c>
      <c r="H55" s="73">
        <f>G55/$G$70</f>
        <v>9.456630904790226E-3</v>
      </c>
      <c r="I55" s="170">
        <v>7.7100000000000002E-2</v>
      </c>
      <c r="J55" s="130"/>
      <c r="K55" s="232"/>
      <c r="L55" s="126" t="s">
        <v>112</v>
      </c>
      <c r="M55" s="237">
        <v>364884519.37</v>
      </c>
      <c r="N55" s="240">
        <f t="shared" si="5"/>
        <v>1.977455141823492E-2</v>
      </c>
      <c r="O55" s="661"/>
      <c r="P55" s="664"/>
      <c r="Q55" s="656"/>
      <c r="R55" s="656"/>
      <c r="S55" s="668"/>
      <c r="T55" s="515"/>
      <c r="U55" s="67"/>
      <c r="V55" s="66"/>
      <c r="W55" s="67"/>
      <c r="X55" s="67"/>
      <c r="Y55" s="212"/>
    </row>
    <row r="56" spans="1:25" s="1" customFormat="1" ht="16.5" thickBot="1" x14ac:dyDescent="0.3">
      <c r="A56" s="8"/>
      <c r="B56" s="418" t="s">
        <v>200</v>
      </c>
      <c r="C56" s="406"/>
      <c r="D56" s="416"/>
      <c r="E56" s="410"/>
      <c r="F56" s="410"/>
      <c r="G56" s="426"/>
      <c r="H56" s="44"/>
      <c r="I56" s="44"/>
      <c r="J56" s="44"/>
      <c r="K56" s="378"/>
      <c r="L56" s="513"/>
      <c r="M56" s="507"/>
      <c r="N56" s="44"/>
      <c r="O56" s="369" t="s">
        <v>96</v>
      </c>
      <c r="P56" s="362">
        <v>0</v>
      </c>
      <c r="Q56" s="361">
        <v>0.2</v>
      </c>
      <c r="R56" s="360">
        <v>0</v>
      </c>
      <c r="S56" s="359" t="s">
        <v>198</v>
      </c>
      <c r="T56" s="67"/>
      <c r="U56" s="67"/>
      <c r="V56" s="66"/>
      <c r="W56" s="67"/>
      <c r="X56" s="67"/>
      <c r="Y56" s="212"/>
    </row>
    <row r="57" spans="1:25" s="54" customFormat="1" ht="16.5" thickBot="1" x14ac:dyDescent="0.25">
      <c r="A57" s="40"/>
      <c r="B57" s="418" t="s">
        <v>201</v>
      </c>
      <c r="C57" s="403"/>
      <c r="D57" s="404"/>
      <c r="E57" s="404"/>
      <c r="F57" s="404"/>
      <c r="G57" s="43">
        <f>G58+G59</f>
        <v>8909238</v>
      </c>
      <c r="H57" s="44">
        <f>G57/$G$70</f>
        <v>1.1676560147043959E-2</v>
      </c>
      <c r="I57" s="244"/>
      <c r="J57" s="45"/>
      <c r="K57" s="45"/>
      <c r="L57" s="45"/>
      <c r="M57" s="148"/>
      <c r="N57" s="149"/>
      <c r="O57" s="190"/>
      <c r="P57" s="191"/>
      <c r="Q57" s="150"/>
      <c r="R57" s="51"/>
      <c r="S57" s="220"/>
      <c r="T57" s="53"/>
      <c r="U57" s="53"/>
      <c r="V57" s="53"/>
      <c r="W57" s="53"/>
      <c r="X57" s="53"/>
      <c r="Y57" s="53"/>
    </row>
    <row r="58" spans="1:25" s="1" customFormat="1" ht="16.5" thickBot="1" x14ac:dyDescent="0.3">
      <c r="A58" s="8">
        <v>39</v>
      </c>
      <c r="B58" s="245" t="s">
        <v>116</v>
      </c>
      <c r="C58" s="92" t="s">
        <v>100</v>
      </c>
      <c r="D58" s="246" t="s">
        <v>117</v>
      </c>
      <c r="E58" s="120" t="s">
        <v>38</v>
      </c>
      <c r="F58" s="120" t="s">
        <v>39</v>
      </c>
      <c r="G58" s="238">
        <v>3577432</v>
      </c>
      <c r="H58" s="233">
        <f>G58/$G$70</f>
        <v>4.6886276828568014E-3</v>
      </c>
      <c r="I58" s="165">
        <v>5.3831999999999998E-2</v>
      </c>
      <c r="J58" s="171"/>
      <c r="K58" s="247"/>
      <c r="L58" s="248" t="s">
        <v>118</v>
      </c>
      <c r="M58" s="249">
        <v>1364986237.1800001</v>
      </c>
      <c r="N58" s="250">
        <f t="shared" ref="N58" si="7">G58/M58</f>
        <v>2.6208557292056022E-3</v>
      </c>
      <c r="O58" s="669" t="s">
        <v>102</v>
      </c>
      <c r="P58" s="671">
        <f>SUM(G58:G59)/G70</f>
        <v>1.1676560147043959E-2</v>
      </c>
      <c r="Q58" s="673">
        <v>0.1</v>
      </c>
      <c r="R58" s="675">
        <v>0.03</v>
      </c>
      <c r="S58" s="666" t="s">
        <v>204</v>
      </c>
      <c r="T58" s="67"/>
      <c r="U58" s="67"/>
      <c r="V58" s="66"/>
      <c r="W58" s="67"/>
      <c r="X58" s="67"/>
      <c r="Y58" s="97"/>
    </row>
    <row r="59" spans="1:25" s="1" customFormat="1" ht="16.5" thickBot="1" x14ac:dyDescent="0.3">
      <c r="A59" s="8">
        <v>40</v>
      </c>
      <c r="B59" s="192" t="s">
        <v>107</v>
      </c>
      <c r="C59" s="231"/>
      <c r="D59" s="92" t="s">
        <v>119</v>
      </c>
      <c r="E59" s="140" t="s">
        <v>120</v>
      </c>
      <c r="F59" s="140" t="s">
        <v>120</v>
      </c>
      <c r="G59" s="94">
        <v>5331806</v>
      </c>
      <c r="H59" s="242">
        <f t="shared" ref="H59:H68" si="8">G59/$G$70</f>
        <v>6.9879324641871571E-3</v>
      </c>
      <c r="I59" s="251">
        <v>-1.9E-3</v>
      </c>
      <c r="J59" s="161"/>
      <c r="K59" s="204"/>
      <c r="L59" s="126" t="s">
        <v>95</v>
      </c>
      <c r="M59" s="252">
        <v>34646077.68</v>
      </c>
      <c r="N59" s="523">
        <f>G59/M59</f>
        <v>0.15389349551328491</v>
      </c>
      <c r="O59" s="670"/>
      <c r="P59" s="672"/>
      <c r="Q59" s="674"/>
      <c r="R59" s="676"/>
      <c r="S59" s="668"/>
      <c r="T59" s="67"/>
      <c r="U59" s="67"/>
      <c r="V59" s="66"/>
      <c r="W59" s="67"/>
      <c r="X59" s="67"/>
      <c r="Y59" s="97"/>
    </row>
    <row r="60" spans="1:25" s="1" customFormat="1" ht="16.5" thickBot="1" x14ac:dyDescent="0.3">
      <c r="A60" s="8"/>
      <c r="B60" s="418" t="s">
        <v>202</v>
      </c>
      <c r="C60" s="403"/>
      <c r="D60" s="404"/>
      <c r="E60" s="404"/>
      <c r="F60" s="404"/>
      <c r="G60" s="43">
        <f>SUM(G61:G63)</f>
        <v>14281814.119999999</v>
      </c>
      <c r="H60" s="44">
        <f t="shared" si="8"/>
        <v>1.8717926446805179E-2</v>
      </c>
      <c r="I60" s="98"/>
      <c r="J60" s="99"/>
      <c r="K60" s="99"/>
      <c r="L60" s="45"/>
      <c r="M60" s="100"/>
      <c r="N60" s="149"/>
      <c r="O60" s="42"/>
      <c r="P60" s="365"/>
      <c r="Q60" s="50"/>
      <c r="R60" s="151"/>
      <c r="S60" s="52"/>
      <c r="T60" s="67"/>
      <c r="U60" s="67"/>
      <c r="V60" s="66"/>
      <c r="W60" s="67"/>
      <c r="X60" s="67"/>
      <c r="Y60" s="97"/>
    </row>
    <row r="61" spans="1:25" s="1" customFormat="1" ht="15.75" x14ac:dyDescent="0.25">
      <c r="A61" s="8"/>
      <c r="B61" s="173" t="s">
        <v>123</v>
      </c>
      <c r="C61" s="261"/>
      <c r="D61" s="262" t="s">
        <v>124</v>
      </c>
      <c r="E61" s="107" t="s">
        <v>89</v>
      </c>
      <c r="F61" s="107" t="s">
        <v>89</v>
      </c>
      <c r="G61" s="257">
        <v>13041587.75</v>
      </c>
      <c r="H61" s="263">
        <f t="shared" si="8"/>
        <v>1.709247006038302E-2</v>
      </c>
      <c r="I61" s="154">
        <v>-0.1188</v>
      </c>
      <c r="J61" s="264"/>
      <c r="K61" s="265"/>
      <c r="L61" s="261" t="s">
        <v>80</v>
      </c>
      <c r="M61" s="115">
        <v>92595273.010000005</v>
      </c>
      <c r="N61" s="156">
        <f>G61/M61</f>
        <v>0.14084507044535144</v>
      </c>
      <c r="O61" s="659" t="s">
        <v>125</v>
      </c>
      <c r="P61" s="662">
        <f>SUM(G61:G63)/G70</f>
        <v>1.8717926446805179E-2</v>
      </c>
      <c r="Q61" s="708">
        <v>0.05</v>
      </c>
      <c r="R61" s="655">
        <v>0.03</v>
      </c>
      <c r="S61" s="657" t="s">
        <v>205</v>
      </c>
      <c r="T61" s="67"/>
      <c r="U61" s="67"/>
      <c r="V61" s="66"/>
      <c r="W61" s="67"/>
      <c r="X61" s="67"/>
      <c r="Y61" s="97"/>
    </row>
    <row r="62" spans="1:25" s="1" customFormat="1" ht="15.75" x14ac:dyDescent="0.25">
      <c r="A62" s="8"/>
      <c r="B62" s="266" t="s">
        <v>126</v>
      </c>
      <c r="C62" s="267"/>
      <c r="D62" s="268" t="s">
        <v>127</v>
      </c>
      <c r="E62" s="209" t="s">
        <v>89</v>
      </c>
      <c r="F62" s="209" t="s">
        <v>89</v>
      </c>
      <c r="G62" s="59">
        <v>464560.2</v>
      </c>
      <c r="H62" s="82">
        <f t="shared" si="8"/>
        <v>6.0885848118804003E-4</v>
      </c>
      <c r="I62" s="159">
        <v>-1.2999999999999999E-3</v>
      </c>
      <c r="J62" s="269"/>
      <c r="K62" s="270"/>
      <c r="L62" s="271" t="s">
        <v>80</v>
      </c>
      <c r="M62" s="127">
        <v>209367646.30000001</v>
      </c>
      <c r="N62" s="128">
        <f>G62/M62</f>
        <v>2.2188729166603806E-3</v>
      </c>
      <c r="O62" s="660"/>
      <c r="P62" s="663"/>
      <c r="Q62" s="709"/>
      <c r="R62" s="665"/>
      <c r="S62" s="677"/>
      <c r="T62" s="67"/>
      <c r="U62" s="67"/>
      <c r="V62" s="66"/>
      <c r="W62" s="67"/>
      <c r="X62" s="67"/>
      <c r="Y62" s="97"/>
    </row>
    <row r="63" spans="1:25" s="1" customFormat="1" ht="16.5" thickBot="1" x14ac:dyDescent="0.3">
      <c r="A63" s="8"/>
      <c r="B63" s="272" t="s">
        <v>128</v>
      </c>
      <c r="C63" s="261"/>
      <c r="D63" s="273" t="s">
        <v>129</v>
      </c>
      <c r="E63" s="181" t="s">
        <v>89</v>
      </c>
      <c r="F63" s="181" t="s">
        <v>89</v>
      </c>
      <c r="G63" s="94">
        <v>775666.17</v>
      </c>
      <c r="H63" s="95">
        <f t="shared" si="8"/>
        <v>1.0165979052341205E-3</v>
      </c>
      <c r="I63" s="182">
        <v>4.1399999999999999E-2</v>
      </c>
      <c r="J63" s="274"/>
      <c r="K63" s="275"/>
      <c r="L63" s="276" t="s">
        <v>80</v>
      </c>
      <c r="M63" s="127">
        <v>191353269.22999999</v>
      </c>
      <c r="N63" s="199">
        <f>G63/M63</f>
        <v>4.0535820115394855E-3</v>
      </c>
      <c r="O63" s="661"/>
      <c r="P63" s="664"/>
      <c r="Q63" s="710"/>
      <c r="R63" s="656"/>
      <c r="S63" s="658"/>
      <c r="T63" s="67"/>
      <c r="U63" s="67"/>
      <c r="V63" s="66"/>
      <c r="W63" s="67"/>
      <c r="X63" s="67"/>
      <c r="Y63" s="97"/>
    </row>
    <row r="64" spans="1:25" s="54" customFormat="1" ht="16.5" thickBot="1" x14ac:dyDescent="0.25">
      <c r="A64" s="40"/>
      <c r="B64" s="418" t="s">
        <v>203</v>
      </c>
      <c r="C64" s="403"/>
      <c r="D64" s="404"/>
      <c r="E64" s="404"/>
      <c r="F64" s="404"/>
      <c r="G64" s="43">
        <f>SUM(G65:G66)</f>
        <v>14446188.68</v>
      </c>
      <c r="H64" s="44">
        <f t="shared" si="8"/>
        <v>1.8933357826737322E-2</v>
      </c>
      <c r="I64" s="98"/>
      <c r="J64" s="99"/>
      <c r="K64" s="45"/>
      <c r="L64" s="45"/>
      <c r="M64" s="148"/>
      <c r="N64" s="149"/>
      <c r="O64" s="42"/>
      <c r="P64" s="150"/>
      <c r="Q64" s="253"/>
      <c r="R64" s="254"/>
      <c r="S64" s="255"/>
      <c r="T64" s="53"/>
      <c r="U64" s="53"/>
      <c r="V64" s="53"/>
      <c r="W64" s="53"/>
      <c r="X64" s="53"/>
      <c r="Y64" s="53"/>
    </row>
    <row r="65" spans="1:25" s="54" customFormat="1" ht="16.5" customHeight="1" x14ac:dyDescent="0.25">
      <c r="A65" s="256">
        <v>41</v>
      </c>
      <c r="B65" s="104" t="s">
        <v>164</v>
      </c>
      <c r="C65" s="105"/>
      <c r="D65" s="153" t="s">
        <v>165</v>
      </c>
      <c r="E65" s="108" t="s">
        <v>89</v>
      </c>
      <c r="F65" s="108" t="s">
        <v>89</v>
      </c>
      <c r="G65" s="257">
        <v>5600000</v>
      </c>
      <c r="H65" s="258">
        <f t="shared" si="8"/>
        <v>7.33943091692535E-3</v>
      </c>
      <c r="I65" s="111">
        <v>0.16200000000000001</v>
      </c>
      <c r="J65" s="259"/>
      <c r="K65" s="113"/>
      <c r="L65" s="114" t="s">
        <v>71</v>
      </c>
      <c r="M65" s="155">
        <v>153397209.24000001</v>
      </c>
      <c r="N65" s="156">
        <f t="shared" ref="N65" si="9">G65/M65</f>
        <v>3.6506531166668306E-2</v>
      </c>
      <c r="O65" s="698" t="s">
        <v>207</v>
      </c>
      <c r="P65" s="662">
        <f>SUM(G65:G66)/G70</f>
        <v>1.8933357826737322E-2</v>
      </c>
      <c r="Q65" s="655">
        <v>0.05</v>
      </c>
      <c r="R65" s="655">
        <v>0.03</v>
      </c>
      <c r="S65" s="657" t="s">
        <v>206</v>
      </c>
      <c r="T65" s="53"/>
      <c r="U65" s="53"/>
      <c r="V65" s="53"/>
      <c r="W65" s="53"/>
      <c r="X65" s="53"/>
      <c r="Y65" s="53"/>
    </row>
    <row r="66" spans="1:25" s="1" customFormat="1" ht="16.5" thickBot="1" x14ac:dyDescent="0.3">
      <c r="A66" s="8">
        <v>42</v>
      </c>
      <c r="B66" s="192" t="s">
        <v>121</v>
      </c>
      <c r="C66" s="118"/>
      <c r="D66" s="92" t="s">
        <v>122</v>
      </c>
      <c r="E66" s="193" t="s">
        <v>89</v>
      </c>
      <c r="F66" s="193" t="s">
        <v>89</v>
      </c>
      <c r="G66" s="94">
        <v>8846188.6799999997</v>
      </c>
      <c r="H66" s="260">
        <f t="shared" si="8"/>
        <v>1.1593926909811973E-2</v>
      </c>
      <c r="I66" s="182">
        <v>1.24E-2</v>
      </c>
      <c r="J66" s="161"/>
      <c r="K66" s="243"/>
      <c r="L66" s="184" t="s">
        <v>71</v>
      </c>
      <c r="M66" s="198">
        <v>152679755.72999999</v>
      </c>
      <c r="N66" s="524">
        <f>G66/M66</f>
        <v>5.7939499822384215E-2</v>
      </c>
      <c r="O66" s="700"/>
      <c r="P66" s="664"/>
      <c r="Q66" s="656"/>
      <c r="R66" s="656"/>
      <c r="S66" s="658"/>
      <c r="T66" s="67"/>
      <c r="U66" s="67"/>
      <c r="V66" s="66"/>
      <c r="W66" s="67"/>
      <c r="X66" s="66"/>
      <c r="Y66" s="68"/>
    </row>
    <row r="67" spans="1:25" s="1" customFormat="1" ht="12" customHeight="1" thickBot="1" x14ac:dyDescent="0.3">
      <c r="A67" s="217"/>
      <c r="B67" s="218" t="s">
        <v>130</v>
      </c>
      <c r="C67" s="41"/>
      <c r="D67" s="42"/>
      <c r="E67" s="277"/>
      <c r="F67" s="277"/>
      <c r="G67" s="278">
        <f>SUM(G68:G69)</f>
        <v>7392692.6200000001</v>
      </c>
      <c r="H67" s="279">
        <f t="shared" si="8"/>
        <v>9.6889565668846194E-3</v>
      </c>
      <c r="I67" s="280"/>
      <c r="J67" s="281"/>
      <c r="K67" s="281"/>
      <c r="L67" s="281"/>
      <c r="M67" s="282"/>
      <c r="N67" s="149"/>
      <c r="O67" s="283"/>
      <c r="P67" s="284">
        <f>SUM((G45+G48+G50+G57+G64)/G70)*100</f>
        <v>19.001344403888602</v>
      </c>
      <c r="Q67" s="285"/>
      <c r="R67" s="286">
        <f>SUM(P45+P67+P68+P69)/100</f>
        <v>0.97169000655197924</v>
      </c>
      <c r="S67" s="52"/>
      <c r="T67" s="261"/>
      <c r="U67" s="261"/>
      <c r="V67" s="261"/>
      <c r="W67" s="261"/>
      <c r="X67" s="261"/>
    </row>
    <row r="68" spans="1:25" s="1" customFormat="1" ht="15.75" x14ac:dyDescent="0.25">
      <c r="A68" s="217">
        <v>46</v>
      </c>
      <c r="B68" s="287" t="s">
        <v>131</v>
      </c>
      <c r="C68" s="288"/>
      <c r="D68" s="289"/>
      <c r="E68" s="290"/>
      <c r="F68" s="291"/>
      <c r="G68" s="292">
        <v>392341.61</v>
      </c>
      <c r="H68" s="233">
        <f t="shared" si="8"/>
        <v>5.1420788257683359E-4</v>
      </c>
      <c r="I68" s="165">
        <v>0</v>
      </c>
      <c r="J68" s="293"/>
      <c r="K68" s="294"/>
      <c r="L68" s="295"/>
      <c r="M68" s="296"/>
      <c r="N68" s="297"/>
      <c r="O68" s="704" t="s">
        <v>132</v>
      </c>
      <c r="P68" s="706">
        <f>(G68+G69)/G70</f>
        <v>9.6889565668846194E-3</v>
      </c>
      <c r="Q68" s="298"/>
      <c r="R68" s="299"/>
      <c r="S68" s="291"/>
      <c r="T68" s="261"/>
      <c r="U68" s="261"/>
      <c r="V68" s="261"/>
      <c r="W68" s="261"/>
      <c r="X68" s="261"/>
    </row>
    <row r="69" spans="1:25" s="261" customFormat="1" ht="15.75" x14ac:dyDescent="0.25">
      <c r="A69" s="8">
        <v>47</v>
      </c>
      <c r="B69" s="300" t="s">
        <v>133</v>
      </c>
      <c r="C69" s="301"/>
      <c r="D69" s="302"/>
      <c r="E69" s="303"/>
      <c r="F69" s="301"/>
      <c r="G69" s="59">
        <v>7000351.0099999998</v>
      </c>
      <c r="H69" s="304">
        <v>9.5999999999999992E-3</v>
      </c>
      <c r="I69" s="74">
        <v>0</v>
      </c>
      <c r="J69" s="305"/>
      <c r="K69" s="306"/>
      <c r="L69" s="307"/>
      <c r="M69" s="308"/>
      <c r="N69" s="309"/>
      <c r="O69" s="705"/>
      <c r="P69" s="707"/>
      <c r="Q69" s="310"/>
      <c r="R69" s="311"/>
      <c r="S69" s="303"/>
      <c r="T69" s="312"/>
      <c r="V69" s="313"/>
      <c r="Y69" s="1"/>
    </row>
    <row r="70" spans="1:25" s="261" customFormat="1" ht="16.5" thickBot="1" x14ac:dyDescent="0.3">
      <c r="A70" s="8"/>
      <c r="B70" s="314" t="s">
        <v>134</v>
      </c>
      <c r="C70" s="315"/>
      <c r="D70" s="316"/>
      <c r="E70" s="317"/>
      <c r="F70" s="317"/>
      <c r="G70" s="318">
        <f>G4+G11+G22+G24+G39+G45+G48+G50+G57+G60+G64+G67</f>
        <v>763001936.16999996</v>
      </c>
      <c r="H70" s="319">
        <f>G70/$G$70</f>
        <v>1</v>
      </c>
      <c r="I70" s="320"/>
      <c r="J70" s="321"/>
      <c r="K70" s="322"/>
      <c r="L70" s="323"/>
      <c r="M70" s="324"/>
      <c r="N70" s="325"/>
      <c r="O70" s="326"/>
      <c r="P70" s="327">
        <f>P5+P12+P20+P21+P23+P25+P35+P36+P37+P38+P40+P43+P44+P46+P49+P51+P56+P58+P61+P65+P68</f>
        <v>0.99999999999999989</v>
      </c>
      <c r="Q70" s="328"/>
      <c r="R70" s="329"/>
      <c r="S70" s="330"/>
      <c r="T70" s="312"/>
      <c r="V70" s="313"/>
      <c r="Y70" s="1"/>
    </row>
    <row r="71" spans="1:25" s="261" customFormat="1" x14ac:dyDescent="0.25">
      <c r="A71" s="1"/>
      <c r="B71" s="331" t="s">
        <v>163</v>
      </c>
      <c r="C71" s="331"/>
      <c r="D71" s="332"/>
      <c r="E71" s="332">
        <v>7.4000000000000003E-3</v>
      </c>
      <c r="F71" s="332"/>
      <c r="G71" s="331" t="s">
        <v>135</v>
      </c>
      <c r="H71" s="333">
        <v>0.1114</v>
      </c>
      <c r="I71" s="334"/>
      <c r="J71" s="331" t="s">
        <v>136</v>
      </c>
      <c r="K71" s="333">
        <v>2.64E-2</v>
      </c>
      <c r="L71" s="334"/>
      <c r="M71" s="335" t="s">
        <v>137</v>
      </c>
      <c r="N71" s="333">
        <v>1.2985E-2</v>
      </c>
      <c r="O71" s="1"/>
      <c r="P71" s="333" t="s">
        <v>138</v>
      </c>
      <c r="Q71" s="1"/>
      <c r="R71" s="333"/>
      <c r="S71" s="336">
        <v>2.9000000000000001E-2</v>
      </c>
      <c r="Y71" s="1"/>
    </row>
    <row r="72" spans="1:25" s="261" customFormat="1" x14ac:dyDescent="0.25">
      <c r="A72" s="1"/>
      <c r="B72" s="331" t="s">
        <v>139</v>
      </c>
      <c r="C72" s="337"/>
      <c r="D72" s="331"/>
      <c r="E72" s="338">
        <v>2.9000000000000001E-2</v>
      </c>
      <c r="F72" s="333"/>
      <c r="G72" s="331" t="s">
        <v>140</v>
      </c>
      <c r="H72" s="333">
        <v>0.1074</v>
      </c>
      <c r="I72" s="331"/>
      <c r="J72" s="331" t="s">
        <v>141</v>
      </c>
      <c r="K72" s="333">
        <v>3.4013000000000002E-2</v>
      </c>
      <c r="L72" s="333"/>
      <c r="M72" s="335" t="s">
        <v>142</v>
      </c>
      <c r="N72" s="333">
        <v>5.9239999999999996E-3</v>
      </c>
      <c r="O72" s="1"/>
      <c r="P72" s="339" t="s">
        <v>143</v>
      </c>
      <c r="Q72" s="1"/>
      <c r="R72" s="1"/>
      <c r="S72" s="336">
        <v>7.4000000000000003E-3</v>
      </c>
      <c r="Y72" s="1"/>
    </row>
    <row r="73" spans="1:25" s="261" customFormat="1" x14ac:dyDescent="0.25">
      <c r="A73" s="1"/>
      <c r="B73" s="331" t="s">
        <v>144</v>
      </c>
      <c r="C73" s="1"/>
      <c r="D73" s="333"/>
      <c r="E73" s="333">
        <v>2.3E-3</v>
      </c>
      <c r="F73" s="333"/>
      <c r="G73" s="331" t="s">
        <v>145</v>
      </c>
      <c r="H73" s="333">
        <v>0.1171</v>
      </c>
      <c r="I73" s="331"/>
      <c r="J73" s="331" t="s">
        <v>146</v>
      </c>
      <c r="K73" s="333">
        <v>1.7559999999999999E-2</v>
      </c>
      <c r="L73" s="333"/>
      <c r="M73" s="335" t="s">
        <v>147</v>
      </c>
      <c r="N73" s="333">
        <v>1.5476999999999999E-2</v>
      </c>
      <c r="O73" s="333"/>
      <c r="P73" s="339" t="s">
        <v>148</v>
      </c>
      <c r="Q73" s="1"/>
      <c r="R73" s="1"/>
      <c r="S73" s="336">
        <v>0.16300000000000001</v>
      </c>
      <c r="T73" s="340"/>
      <c r="Y73" s="1"/>
    </row>
    <row r="74" spans="1:25" s="261" customFormat="1" x14ac:dyDescent="0.25">
      <c r="A74" s="1"/>
      <c r="B74" s="331" t="s">
        <v>118</v>
      </c>
      <c r="C74" s="333"/>
      <c r="D74" s="333"/>
      <c r="E74" s="341">
        <v>5.7999999999999996E-3</v>
      </c>
      <c r="F74" s="341"/>
      <c r="G74" s="331" t="s">
        <v>149</v>
      </c>
      <c r="H74" s="333">
        <v>4.3400000000000001E-2</v>
      </c>
      <c r="I74" s="331"/>
      <c r="J74" s="331" t="s">
        <v>150</v>
      </c>
      <c r="K74" s="333">
        <v>1.3336000000000001E-2</v>
      </c>
      <c r="L74" s="333"/>
      <c r="M74" s="335" t="s">
        <v>151</v>
      </c>
      <c r="N74" s="333">
        <v>4.3695999999999999E-2</v>
      </c>
      <c r="O74" s="333"/>
      <c r="P74" s="339" t="s">
        <v>152</v>
      </c>
      <c r="Q74" s="1"/>
      <c r="R74" s="1"/>
      <c r="S74" s="336">
        <v>7.9100000000000004E-2</v>
      </c>
      <c r="Y74" s="1"/>
    </row>
    <row r="75" spans="1:25" s="261" customFormat="1" x14ac:dyDescent="0.25">
      <c r="A75" s="1"/>
      <c r="B75" s="331" t="s">
        <v>80</v>
      </c>
      <c r="C75" s="1"/>
      <c r="D75" s="333"/>
      <c r="E75" s="341">
        <v>2.8999999999999998E-3</v>
      </c>
      <c r="F75" s="341"/>
      <c r="G75" s="331" t="s">
        <v>112</v>
      </c>
      <c r="H75" s="333">
        <v>9.8799999999999999E-2</v>
      </c>
      <c r="I75" s="1"/>
      <c r="J75" s="331" t="s">
        <v>153</v>
      </c>
      <c r="K75" s="333">
        <v>4.9485000000000001E-2</v>
      </c>
      <c r="L75" s="1"/>
      <c r="M75" s="335" t="s">
        <v>154</v>
      </c>
      <c r="N75" s="333">
        <v>5.8300000000000001E-3</v>
      </c>
      <c r="O75" s="333"/>
      <c r="P75" s="339"/>
      <c r="Q75" s="1"/>
      <c r="R75" s="1"/>
      <c r="S75" s="342">
        <f>'[1]FFPREV Janeiro 2018'!$G$46</f>
        <v>234020168.92000002</v>
      </c>
      <c r="T75" s="343"/>
      <c r="Y75" s="1"/>
    </row>
    <row r="76" spans="1:25" s="261" customFormat="1" x14ac:dyDescent="0.25">
      <c r="A76" s="1"/>
      <c r="B76" s="1"/>
      <c r="C76" s="1"/>
      <c r="D76" s="1"/>
      <c r="E76" s="1"/>
      <c r="F76" s="1"/>
      <c r="G76" s="331"/>
      <c r="H76" s="333" t="s">
        <v>155</v>
      </c>
      <c r="I76" s="1"/>
      <c r="J76" s="331"/>
      <c r="K76" s="333"/>
      <c r="L76" s="1"/>
      <c r="M76" s="335"/>
      <c r="N76" s="344"/>
      <c r="O76" s="333"/>
      <c r="P76" s="1"/>
      <c r="Q76" s="1"/>
      <c r="R76" s="1"/>
      <c r="S76" s="345">
        <f>G70</f>
        <v>763001936.16999996</v>
      </c>
      <c r="Y76" s="1"/>
    </row>
    <row r="77" spans="1:25" s="1" customFormat="1" x14ac:dyDescent="0.25">
      <c r="D77" t="s">
        <v>156</v>
      </c>
      <c r="G77" s="346">
        <f>S77</f>
        <v>997022105.08999991</v>
      </c>
      <c r="H77" s="333"/>
      <c r="J77" s="331"/>
      <c r="K77" s="333"/>
      <c r="M77" s="347"/>
      <c r="N77" s="344"/>
      <c r="O77" s="333"/>
      <c r="S77" s="348">
        <f>S75+S76</f>
        <v>997022105.08999991</v>
      </c>
      <c r="T77" s="261"/>
      <c r="U77" s="261"/>
      <c r="V77" s="261"/>
      <c r="W77" s="261"/>
      <c r="X77" s="261"/>
    </row>
    <row r="78" spans="1:25" s="7" customFormat="1" x14ac:dyDescent="0.25">
      <c r="A78"/>
      <c r="B78"/>
      <c r="C78"/>
      <c r="D78"/>
      <c r="E78"/>
      <c r="F78"/>
      <c r="G78" s="349"/>
      <c r="H78" s="350"/>
      <c r="I78"/>
      <c r="J78" s="351"/>
      <c r="K78" s="350"/>
      <c r="L78"/>
      <c r="M78" s="352"/>
      <c r="N78" s="353"/>
      <c r="O78"/>
      <c r="P78"/>
      <c r="Q78"/>
      <c r="R78"/>
      <c r="S78" s="348"/>
      <c r="Y78"/>
    </row>
    <row r="79" spans="1:25" s="7" customFormat="1" x14ac:dyDescent="0.25">
      <c r="A79"/>
      <c r="B79" s="331"/>
      <c r="C79" s="331"/>
      <c r="D79" s="331"/>
      <c r="E79" s="332"/>
      <c r="F79" s="332"/>
      <c r="G79" s="349"/>
      <c r="H79" s="353"/>
      <c r="I79"/>
      <c r="J79"/>
      <c r="K79"/>
      <c r="L79"/>
      <c r="M79" s="352"/>
      <c r="N79" s="353"/>
      <c r="O79"/>
      <c r="P79"/>
      <c r="Q79"/>
      <c r="R79"/>
      <c r="S79"/>
      <c r="Y79"/>
    </row>
    <row r="80" spans="1:25" s="7" customFormat="1" x14ac:dyDescent="0.25">
      <c r="A80"/>
      <c r="B80" s="331"/>
      <c r="C80" s="331"/>
      <c r="D80" s="331"/>
      <c r="E80" s="333"/>
      <c r="F80" s="333"/>
      <c r="G80" s="354"/>
      <c r="H80" s="353"/>
      <c r="I80"/>
      <c r="J80"/>
      <c r="K80"/>
      <c r="L80"/>
      <c r="M80" s="352"/>
      <c r="N80" s="353"/>
      <c r="O80"/>
      <c r="P80"/>
      <c r="Q80"/>
      <c r="R80"/>
      <c r="S80"/>
      <c r="Y80"/>
    </row>
    <row r="81" spans="1:25" s="7" customFormat="1" x14ac:dyDescent="0.25">
      <c r="A81"/>
      <c r="B81" s="331"/>
      <c r="C81" s="1"/>
      <c r="D81" s="333"/>
      <c r="E81" s="333"/>
      <c r="F81" s="333"/>
      <c r="G81" s="349"/>
      <c r="H81" s="353"/>
      <c r="I81"/>
      <c r="J81"/>
      <c r="K81"/>
      <c r="L81"/>
      <c r="M81" s="352"/>
      <c r="N81" s="353"/>
      <c r="O81"/>
      <c r="P81"/>
      <c r="Q81"/>
      <c r="R81"/>
      <c r="S81"/>
      <c r="Y81"/>
    </row>
    <row r="82" spans="1:25" s="7" customFormat="1" x14ac:dyDescent="0.25">
      <c r="A82"/>
      <c r="B82" s="331"/>
      <c r="C82" s="333"/>
      <c r="D82" s="333"/>
      <c r="E82" s="339"/>
      <c r="F82" s="339"/>
      <c r="G82" s="349"/>
      <c r="H82" s="353"/>
      <c r="I82"/>
      <c r="J82"/>
      <c r="K82"/>
      <c r="L82"/>
      <c r="M82" s="352" t="s">
        <v>157</v>
      </c>
      <c r="N82" s="353"/>
      <c r="O82"/>
      <c r="P82"/>
      <c r="Q82"/>
      <c r="R82"/>
      <c r="S82"/>
      <c r="Y82"/>
    </row>
    <row r="83" spans="1:25" s="7" customFormat="1" x14ac:dyDescent="0.25">
      <c r="A83"/>
      <c r="B83" s="331" t="s">
        <v>60</v>
      </c>
      <c r="C83" s="1"/>
      <c r="D83" s="333" t="s">
        <v>158</v>
      </c>
      <c r="E83" s="355">
        <v>2.1000000000000001E-2</v>
      </c>
      <c r="F83" s="1"/>
      <c r="G83" s="349">
        <f>G4+G11+G20+G21+G22+G23+G24+G35+G36+G37+G38+G39+G43+G44</f>
        <v>596346803.73000002</v>
      </c>
      <c r="H83" s="353">
        <f>G83/G86</f>
        <v>0.78157967294742425</v>
      </c>
      <c r="I83"/>
      <c r="J83" t="s">
        <v>60</v>
      </c>
      <c r="K83"/>
      <c r="L83"/>
      <c r="M83" s="356">
        <f>G83+'[2]FFINPrev Setembro 2017'!$G$57</f>
        <v>785082012.08000004</v>
      </c>
      <c r="N83" s="353">
        <f>M83/M86</f>
        <v>0.81102014633913255</v>
      </c>
      <c r="O83"/>
      <c r="P83"/>
      <c r="Q83"/>
      <c r="R83"/>
      <c r="S83"/>
      <c r="Y83"/>
    </row>
    <row r="84" spans="1:25" s="7" customFormat="1" x14ac:dyDescent="0.25">
      <c r="A84"/>
      <c r="B84" t="s">
        <v>96</v>
      </c>
      <c r="C84"/>
      <c r="D84" s="333" t="s">
        <v>158</v>
      </c>
      <c r="E84" s="355">
        <v>6.0499999999999998E-2</v>
      </c>
      <c r="F84">
        <v>3.71</v>
      </c>
      <c r="G84" s="349">
        <f>G45+G48+G50+G56+G57+G60+G64</f>
        <v>159262439.81999999</v>
      </c>
      <c r="H84" s="353">
        <f>G84/G86</f>
        <v>0.20873137048569124</v>
      </c>
      <c r="I84"/>
      <c r="J84" t="s">
        <v>96</v>
      </c>
      <c r="K84"/>
      <c r="L84"/>
      <c r="M84" s="356">
        <f>G84+'[2]FFINPrev Setembro 2017'!$G$58</f>
        <v>175541156.87</v>
      </c>
      <c r="N84" s="353">
        <f>M84/M86</f>
        <v>0.18134081859302714</v>
      </c>
      <c r="O84"/>
      <c r="P84"/>
      <c r="Q84"/>
      <c r="R84"/>
      <c r="S84"/>
      <c r="Y84"/>
    </row>
    <row r="85" spans="1:25" s="7" customFormat="1" x14ac:dyDescent="0.25">
      <c r="A85"/>
      <c r="B85" t="s">
        <v>159</v>
      </c>
      <c r="C85"/>
      <c r="D85"/>
      <c r="E85" s="357"/>
      <c r="F85"/>
      <c r="G85" s="349">
        <f>G67</f>
        <v>7392692.6200000001</v>
      </c>
      <c r="H85" s="353">
        <f>G85/G86</f>
        <v>9.6889565668846194E-3</v>
      </c>
      <c r="I85"/>
      <c r="J85" t="s">
        <v>160</v>
      </c>
      <c r="K85"/>
      <c r="L85"/>
      <c r="M85" s="356">
        <f>G85+'[2]FFINPrev Setembro 2017'!$G$59</f>
        <v>7394722.6200000001</v>
      </c>
      <c r="N85" s="353">
        <f>M85/M86</f>
        <v>7.6390350678402384E-3</v>
      </c>
      <c r="O85"/>
      <c r="P85"/>
      <c r="Q85"/>
      <c r="R85"/>
      <c r="S85"/>
      <c r="Y85"/>
    </row>
    <row r="86" spans="1:25" s="7" customFormat="1" x14ac:dyDescent="0.25">
      <c r="A86"/>
      <c r="B86"/>
      <c r="C86"/>
      <c r="D86"/>
      <c r="E86" s="355">
        <v>2.9000000000000001E-2</v>
      </c>
      <c r="F86">
        <v>3.19</v>
      </c>
      <c r="G86" s="349">
        <f>G83+G84+G85</f>
        <v>763001936.16999996</v>
      </c>
      <c r="H86" s="353">
        <f>SUM(H83:H85)</f>
        <v>1</v>
      </c>
      <c r="I86"/>
      <c r="J86" s="7" t="s">
        <v>161</v>
      </c>
      <c r="M86" s="356">
        <f>M83+M84+M85</f>
        <v>968017891.57000005</v>
      </c>
      <c r="N86" s="353">
        <f>N83+N84+N85</f>
        <v>0.99999999999999989</v>
      </c>
      <c r="O86"/>
      <c r="P86"/>
      <c r="Q86"/>
      <c r="R86"/>
      <c r="S86"/>
      <c r="Y86"/>
    </row>
    <row r="87" spans="1:25" s="7" customFormat="1" x14ac:dyDescent="0.25">
      <c r="A87"/>
      <c r="B87"/>
      <c r="C87"/>
      <c r="D87"/>
      <c r="E87" s="358"/>
      <c r="F87"/>
      <c r="G87" s="1"/>
      <c r="H87" s="353"/>
      <c r="I87"/>
      <c r="J87"/>
      <c r="K87"/>
      <c r="L87"/>
      <c r="M87" s="352"/>
      <c r="N87" s="353"/>
      <c r="O87"/>
      <c r="P87"/>
      <c r="Q87"/>
      <c r="R87"/>
      <c r="S87"/>
      <c r="Y87"/>
    </row>
    <row r="88" spans="1:25" s="7" customFormat="1" x14ac:dyDescent="0.25">
      <c r="A88"/>
      <c r="B88"/>
      <c r="C88"/>
      <c r="D88"/>
      <c r="E88"/>
      <c r="F88"/>
      <c r="G88" s="1"/>
      <c r="H88" s="353"/>
      <c r="I88"/>
      <c r="J88"/>
      <c r="K88"/>
      <c r="L88"/>
      <c r="M88" s="352"/>
      <c r="N88" s="353"/>
      <c r="O88"/>
      <c r="P88"/>
      <c r="Q88"/>
      <c r="R88"/>
      <c r="S88"/>
      <c r="Y88"/>
    </row>
    <row r="89" spans="1:25" s="7" customFormat="1" x14ac:dyDescent="0.25">
      <c r="A89"/>
      <c r="B89"/>
      <c r="C89"/>
      <c r="D89"/>
      <c r="E89"/>
      <c r="F89"/>
      <c r="G89" s="1"/>
      <c r="H89" s="353"/>
      <c r="I89"/>
      <c r="J89"/>
      <c r="K89"/>
      <c r="L89"/>
      <c r="M89" s="352"/>
      <c r="N89" s="353"/>
      <c r="O89"/>
      <c r="P89"/>
      <c r="Q89"/>
      <c r="R89"/>
      <c r="S89"/>
      <c r="Y89"/>
    </row>
  </sheetData>
  <mergeCells count="48">
    <mergeCell ref="O68:O69"/>
    <mergeCell ref="P68:P69"/>
    <mergeCell ref="O61:O63"/>
    <mergeCell ref="P61:P63"/>
    <mergeCell ref="Q61:Q63"/>
    <mergeCell ref="O65:O66"/>
    <mergeCell ref="P65:P66"/>
    <mergeCell ref="Q65:Q66"/>
    <mergeCell ref="O40:O42"/>
    <mergeCell ref="P40:P42"/>
    <mergeCell ref="Q40:Q42"/>
    <mergeCell ref="R40:R42"/>
    <mergeCell ref="S40:S42"/>
    <mergeCell ref="O12:O19"/>
    <mergeCell ref="P12:P19"/>
    <mergeCell ref="Q12:Q19"/>
    <mergeCell ref="R12:R19"/>
    <mergeCell ref="S12:S19"/>
    <mergeCell ref="O25:O34"/>
    <mergeCell ref="P25:P34"/>
    <mergeCell ref="Q25:Q34"/>
    <mergeCell ref="R25:R34"/>
    <mergeCell ref="S25:S34"/>
    <mergeCell ref="S5:S10"/>
    <mergeCell ref="P3:R3"/>
    <mergeCell ref="O5:O10"/>
    <mergeCell ref="P5:P10"/>
    <mergeCell ref="Q5:Q10"/>
    <mergeCell ref="R5:R10"/>
    <mergeCell ref="O46:O47"/>
    <mergeCell ref="P46:P47"/>
    <mergeCell ref="Q46:Q47"/>
    <mergeCell ref="R46:R47"/>
    <mergeCell ref="S46:S47"/>
    <mergeCell ref="R65:R66"/>
    <mergeCell ref="S65:S66"/>
    <mergeCell ref="O51:O55"/>
    <mergeCell ref="P51:P55"/>
    <mergeCell ref="Q51:Q55"/>
    <mergeCell ref="R51:R55"/>
    <mergeCell ref="S51:S55"/>
    <mergeCell ref="O58:O59"/>
    <mergeCell ref="P58:P59"/>
    <mergeCell ref="Q58:Q59"/>
    <mergeCell ref="R58:R59"/>
    <mergeCell ref="S58:S59"/>
    <mergeCell ref="R61:R63"/>
    <mergeCell ref="S61:S63"/>
  </mergeCells>
  <printOptions horizontalCentered="1"/>
  <pageMargins left="0" right="0" top="0" bottom="0" header="0.19685039370078741" footer="0.39370078740157483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topLeftCell="A40" zoomScaleNormal="100" workbookViewId="0">
      <selection activeCell="S76" sqref="S76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1.140625" style="1" bestFit="1" customWidth="1"/>
    <col min="8" max="8" width="11.5703125" style="353" customWidth="1"/>
    <col min="9" max="9" width="10.85546875" customWidth="1"/>
    <col min="10" max="10" width="7.5703125" customWidth="1"/>
    <col min="11" max="11" width="7.7109375" customWidth="1"/>
    <col min="12" max="12" width="9.140625" customWidth="1"/>
    <col min="13" max="13" width="14" style="352" bestFit="1" customWidth="1"/>
    <col min="14" max="14" width="8.140625" style="353" bestFit="1" customWidth="1"/>
    <col min="15" max="15" width="13.5703125" customWidth="1"/>
    <col min="16" max="16" width="6.85546875" customWidth="1"/>
    <col min="17" max="17" width="5.5703125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234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685" t="s">
        <v>18</v>
      </c>
      <c r="Q3" s="686"/>
      <c r="R3" s="687"/>
      <c r="S3" s="38" t="s">
        <v>19</v>
      </c>
      <c r="T3" s="39"/>
      <c r="U3" s="39"/>
      <c r="V3" s="39"/>
      <c r="W3" s="39"/>
      <c r="X3" s="39"/>
      <c r="Y3" s="39"/>
    </row>
    <row r="4" spans="1:25" s="54" customFormat="1" ht="12" customHeight="1" thickBot="1" x14ac:dyDescent="0.25">
      <c r="A4" s="40"/>
      <c r="B4" s="402" t="s">
        <v>166</v>
      </c>
      <c r="C4" s="403"/>
      <c r="D4" s="404"/>
      <c r="E4" s="404"/>
      <c r="F4" s="404"/>
      <c r="G4" s="43">
        <f>SUM(G5:G10)</f>
        <v>124328324.04000001</v>
      </c>
      <c r="H4" s="44">
        <f t="shared" ref="H4:H19" si="0">G4/$G$71</f>
        <v>0.15859152121401637</v>
      </c>
      <c r="I4" s="45"/>
      <c r="J4" s="45"/>
      <c r="K4" s="45"/>
      <c r="L4" s="45"/>
      <c r="M4" s="46"/>
      <c r="N4" s="47"/>
      <c r="O4" s="48"/>
      <c r="P4" s="49"/>
      <c r="Q4" s="50"/>
      <c r="R4" s="520"/>
      <c r="S4" s="52"/>
      <c r="T4" s="53"/>
      <c r="U4" s="53"/>
      <c r="V4" s="53"/>
      <c r="W4" s="53"/>
      <c r="X4" s="53"/>
      <c r="Y4" s="53"/>
    </row>
    <row r="5" spans="1:25" s="1" customFormat="1" ht="16.5" customHeight="1" x14ac:dyDescent="0.25">
      <c r="A5" s="8">
        <v>1</v>
      </c>
      <c r="B5" s="55" t="s">
        <v>21</v>
      </c>
      <c r="C5" s="56" t="s">
        <v>22</v>
      </c>
      <c r="D5" s="57" t="s">
        <v>23</v>
      </c>
      <c r="E5" s="58"/>
      <c r="F5" s="58"/>
      <c r="G5" s="59">
        <v>25841931.02</v>
      </c>
      <c r="H5" s="60">
        <f t="shared" si="0"/>
        <v>3.2963616160794809E-2</v>
      </c>
      <c r="I5" s="61">
        <v>3.5999999999999999E-3</v>
      </c>
      <c r="J5" s="62" t="s">
        <v>24</v>
      </c>
      <c r="K5" s="62"/>
      <c r="L5" s="63"/>
      <c r="M5" s="64">
        <v>0</v>
      </c>
      <c r="N5" s="65"/>
      <c r="O5" s="688" t="s">
        <v>20</v>
      </c>
      <c r="P5" s="691">
        <f>SUM(G5:G10)/G71</f>
        <v>0.15859152121401637</v>
      </c>
      <c r="Q5" s="694">
        <v>1</v>
      </c>
      <c r="R5" s="675">
        <v>0.4</v>
      </c>
      <c r="S5" s="682" t="s">
        <v>175</v>
      </c>
      <c r="T5" s="66"/>
      <c r="U5" s="67"/>
      <c r="V5" s="66"/>
      <c r="W5" s="66"/>
      <c r="X5" s="66"/>
      <c r="Y5" s="68"/>
    </row>
    <row r="6" spans="1:25" s="1" customFormat="1" ht="16.5" thickBot="1" x14ac:dyDescent="0.3">
      <c r="A6" s="8">
        <v>2</v>
      </c>
      <c r="B6" s="69" t="s">
        <v>21</v>
      </c>
      <c r="C6" s="70" t="s">
        <v>22</v>
      </c>
      <c r="D6" s="71" t="s">
        <v>25</v>
      </c>
      <c r="E6" s="71"/>
      <c r="F6" s="72"/>
      <c r="G6" s="59">
        <v>11350989.08</v>
      </c>
      <c r="H6" s="73">
        <f t="shared" si="0"/>
        <v>1.4479167473549484E-2</v>
      </c>
      <c r="I6" s="74">
        <v>7.9000000000000008E-3</v>
      </c>
      <c r="J6" s="75" t="s">
        <v>26</v>
      </c>
      <c r="K6" s="76"/>
      <c r="L6" s="77"/>
      <c r="M6" s="78"/>
      <c r="N6" s="79"/>
      <c r="O6" s="689"/>
      <c r="P6" s="692"/>
      <c r="Q6" s="695"/>
      <c r="R6" s="697"/>
      <c r="S6" s="683"/>
      <c r="T6" s="66"/>
      <c r="U6" s="67"/>
      <c r="V6" s="66"/>
      <c r="W6" s="66"/>
      <c r="X6" s="66"/>
      <c r="Y6" s="68"/>
    </row>
    <row r="7" spans="1:25" s="1" customFormat="1" ht="15.75" x14ac:dyDescent="0.25">
      <c r="A7" s="8">
        <v>3</v>
      </c>
      <c r="B7" s="55" t="s">
        <v>21</v>
      </c>
      <c r="C7" s="56" t="s">
        <v>22</v>
      </c>
      <c r="D7" s="57" t="s">
        <v>27</v>
      </c>
      <c r="E7" s="80"/>
      <c r="F7" s="71"/>
      <c r="G7" s="81">
        <v>25139493.309999999</v>
      </c>
      <c r="H7" s="82">
        <f t="shared" si="0"/>
        <v>3.206759616014597E-2</v>
      </c>
      <c r="I7" s="74">
        <v>5.7999999999999996E-3</v>
      </c>
      <c r="J7" s="62" t="s">
        <v>28</v>
      </c>
      <c r="K7" s="83"/>
      <c r="L7" s="84">
        <v>0.27250000000000002</v>
      </c>
      <c r="M7" s="85"/>
      <c r="N7" s="86"/>
      <c r="O7" s="689"/>
      <c r="P7" s="692"/>
      <c r="Q7" s="695"/>
      <c r="R7" s="697"/>
      <c r="S7" s="683"/>
      <c r="T7" s="66"/>
      <c r="U7" s="67"/>
      <c r="V7" s="66"/>
      <c r="W7" s="66"/>
      <c r="X7" s="66"/>
      <c r="Y7" s="68"/>
    </row>
    <row r="8" spans="1:25" s="1" customFormat="1" ht="16.5" thickBot="1" x14ac:dyDescent="0.3">
      <c r="A8" s="8">
        <v>4</v>
      </c>
      <c r="B8" s="55" t="s">
        <v>21</v>
      </c>
      <c r="C8" s="70" t="s">
        <v>22</v>
      </c>
      <c r="D8" s="87" t="s">
        <v>29</v>
      </c>
      <c r="E8" s="87"/>
      <c r="F8" s="71"/>
      <c r="G8" s="88">
        <v>29357395.010000002</v>
      </c>
      <c r="H8" s="73">
        <f t="shared" si="0"/>
        <v>3.7447894270807976E-2</v>
      </c>
      <c r="I8" s="74">
        <v>1.4E-3</v>
      </c>
      <c r="J8" s="89" t="s">
        <v>30</v>
      </c>
      <c r="K8" s="83"/>
      <c r="L8" s="90"/>
      <c r="M8" s="78"/>
      <c r="N8" s="79"/>
      <c r="O8" s="689"/>
      <c r="P8" s="692"/>
      <c r="Q8" s="695"/>
      <c r="R8" s="697"/>
      <c r="S8" s="683"/>
      <c r="T8" s="66"/>
      <c r="U8" s="67"/>
      <c r="V8" s="66"/>
      <c r="W8" s="66"/>
      <c r="X8" s="66"/>
      <c r="Y8" s="68"/>
    </row>
    <row r="9" spans="1:25" s="1" customFormat="1" ht="15.75" x14ac:dyDescent="0.25">
      <c r="A9" s="8">
        <v>5</v>
      </c>
      <c r="B9" s="69" t="s">
        <v>21</v>
      </c>
      <c r="C9" s="419" t="s">
        <v>22</v>
      </c>
      <c r="D9" s="87" t="s">
        <v>31</v>
      </c>
      <c r="E9" s="87"/>
      <c r="F9" s="80"/>
      <c r="G9" s="81">
        <v>11915648.560000001</v>
      </c>
      <c r="H9" s="73">
        <f t="shared" si="0"/>
        <v>1.5199439435651253E-2</v>
      </c>
      <c r="I9" s="170">
        <v>1.4E-3</v>
      </c>
      <c r="J9" s="420" t="s">
        <v>32</v>
      </c>
      <c r="K9" s="421"/>
      <c r="L9" s="422"/>
      <c r="M9" s="78"/>
      <c r="N9" s="91"/>
      <c r="O9" s="689"/>
      <c r="P9" s="692"/>
      <c r="Q9" s="695"/>
      <c r="R9" s="697"/>
      <c r="S9" s="683"/>
      <c r="T9" s="66"/>
      <c r="U9" s="67"/>
      <c r="V9" s="66"/>
      <c r="W9" s="66"/>
      <c r="X9" s="66"/>
      <c r="Y9" s="68"/>
    </row>
    <row r="10" spans="1:25" s="1" customFormat="1" ht="16.5" thickBot="1" x14ac:dyDescent="0.3">
      <c r="A10" s="8">
        <v>6</v>
      </c>
      <c r="B10" s="55" t="s">
        <v>21</v>
      </c>
      <c r="C10" s="157" t="s">
        <v>22</v>
      </c>
      <c r="D10" s="71" t="s">
        <v>33</v>
      </c>
      <c r="E10" s="71"/>
      <c r="F10" s="71"/>
      <c r="G10" s="59">
        <v>20722867.059999999</v>
      </c>
      <c r="H10" s="73">
        <f t="shared" si="0"/>
        <v>2.6433807713066883E-2</v>
      </c>
      <c r="I10" s="74">
        <v>1.4E-3</v>
      </c>
      <c r="J10" s="75" t="s">
        <v>34</v>
      </c>
      <c r="K10" s="421"/>
      <c r="L10" s="83"/>
      <c r="M10" s="85"/>
      <c r="N10" s="79"/>
      <c r="O10" s="690"/>
      <c r="P10" s="693"/>
      <c r="Q10" s="696"/>
      <c r="R10" s="676"/>
      <c r="S10" s="684"/>
      <c r="T10" s="67"/>
      <c r="U10" s="67"/>
      <c r="V10" s="66"/>
      <c r="W10" s="67"/>
      <c r="X10" s="67"/>
      <c r="Y10" s="97"/>
    </row>
    <row r="11" spans="1:25" s="54" customFormat="1" ht="16.5" thickBot="1" x14ac:dyDescent="0.25">
      <c r="A11" s="40"/>
      <c r="B11" s="402" t="s">
        <v>167</v>
      </c>
      <c r="C11" s="403"/>
      <c r="D11" s="404"/>
      <c r="E11" s="404"/>
      <c r="F11" s="404"/>
      <c r="G11" s="43">
        <f>SUM(G12:G19)</f>
        <v>286167509.66000009</v>
      </c>
      <c r="H11" s="44">
        <f t="shared" si="0"/>
        <v>0.36503138789520628</v>
      </c>
      <c r="I11" s="98"/>
      <c r="J11" s="99"/>
      <c r="K11" s="45"/>
      <c r="L11" s="45"/>
      <c r="M11" s="148"/>
      <c r="N11" s="423"/>
      <c r="O11" s="48"/>
      <c r="P11" s="424"/>
      <c r="Q11" s="521"/>
      <c r="R11" s="103"/>
      <c r="S11" s="425"/>
      <c r="T11" s="53"/>
      <c r="U11" s="53"/>
      <c r="V11" s="53"/>
      <c r="W11" s="53"/>
      <c r="X11" s="53"/>
      <c r="Y11" s="53"/>
    </row>
    <row r="12" spans="1:25" s="1" customFormat="1" ht="15.75" customHeight="1" x14ac:dyDescent="0.25">
      <c r="A12" s="8">
        <v>7</v>
      </c>
      <c r="B12" s="104" t="s">
        <v>35</v>
      </c>
      <c r="C12" s="105" t="s">
        <v>36</v>
      </c>
      <c r="D12" s="106" t="s">
        <v>37</v>
      </c>
      <c r="E12" s="107" t="s">
        <v>38</v>
      </c>
      <c r="F12" s="108" t="s">
        <v>39</v>
      </c>
      <c r="G12" s="563">
        <v>50860137.299999997</v>
      </c>
      <c r="H12" s="110">
        <f t="shared" si="0"/>
        <v>6.4876500233089884E-2</v>
      </c>
      <c r="I12" s="564">
        <v>5.1999999999999998E-3</v>
      </c>
      <c r="J12" s="112"/>
      <c r="K12" s="113"/>
      <c r="L12" s="114" t="s">
        <v>40</v>
      </c>
      <c r="M12" s="535">
        <v>1327754160.5799999</v>
      </c>
      <c r="N12" s="116">
        <f t="shared" ref="N12:N19" si="1">G12/M12</f>
        <v>3.8305387254657798E-2</v>
      </c>
      <c r="O12" s="659" t="s">
        <v>41</v>
      </c>
      <c r="P12" s="662">
        <f>(SUM(G12:G19)/G71)</f>
        <v>0.36503138789520628</v>
      </c>
      <c r="Q12" s="655">
        <v>1</v>
      </c>
      <c r="R12" s="655">
        <v>0.5</v>
      </c>
      <c r="S12" s="657" t="s">
        <v>174</v>
      </c>
      <c r="T12" s="67"/>
      <c r="U12" s="67"/>
      <c r="V12" s="66"/>
      <c r="W12" s="67"/>
      <c r="X12" s="67"/>
      <c r="Y12" s="97"/>
    </row>
    <row r="13" spans="1:25" s="1" customFormat="1" ht="15.75" customHeight="1" thickBot="1" x14ac:dyDescent="0.3">
      <c r="A13" s="8">
        <v>8</v>
      </c>
      <c r="B13" s="117" t="s">
        <v>42</v>
      </c>
      <c r="C13" s="118" t="s">
        <v>43</v>
      </c>
      <c r="D13" s="57" t="s">
        <v>44</v>
      </c>
      <c r="E13" s="119" t="s">
        <v>38</v>
      </c>
      <c r="F13" s="120" t="s">
        <v>39</v>
      </c>
      <c r="G13" s="528">
        <v>29564556.870000001</v>
      </c>
      <c r="H13" s="122">
        <f t="shared" si="0"/>
        <v>3.7712147125244871E-2</v>
      </c>
      <c r="I13" s="539">
        <v>1.1029000000000001E-2</v>
      </c>
      <c r="J13" s="124"/>
      <c r="K13" s="125"/>
      <c r="L13" s="126" t="s">
        <v>45</v>
      </c>
      <c r="M13" s="547">
        <v>5033878676.0100002</v>
      </c>
      <c r="N13" s="128">
        <f t="shared" si="1"/>
        <v>5.8731166904947606E-3</v>
      </c>
      <c r="O13" s="660"/>
      <c r="P13" s="663"/>
      <c r="Q13" s="665"/>
      <c r="R13" s="665"/>
      <c r="S13" s="677"/>
      <c r="T13" s="67"/>
      <c r="U13" s="67"/>
      <c r="V13" s="66"/>
      <c r="W13" s="67"/>
      <c r="X13" s="67"/>
      <c r="Y13" s="97"/>
    </row>
    <row r="14" spans="1:25" s="1" customFormat="1" ht="15.75" customHeight="1" thickBot="1" x14ac:dyDescent="0.3">
      <c r="A14" s="8"/>
      <c r="B14" s="117" t="s">
        <v>42</v>
      </c>
      <c r="C14" s="118" t="s">
        <v>43</v>
      </c>
      <c r="D14" s="57" t="s">
        <v>61</v>
      </c>
      <c r="E14" s="119" t="s">
        <v>38</v>
      </c>
      <c r="F14" s="119" t="s">
        <v>39</v>
      </c>
      <c r="G14" s="528">
        <v>20402721.870000001</v>
      </c>
      <c r="H14" s="122">
        <f t="shared" si="0"/>
        <v>2.6025434857697944E-2</v>
      </c>
      <c r="I14" s="539">
        <v>5.2009999999999999E-3</v>
      </c>
      <c r="J14" s="124"/>
      <c r="K14" s="125"/>
      <c r="L14" s="145" t="s">
        <v>53</v>
      </c>
      <c r="M14" s="547">
        <v>2178485001.4400001</v>
      </c>
      <c r="N14" s="128">
        <f>G14/M14</f>
        <v>9.3655553545301442E-3</v>
      </c>
      <c r="O14" s="660"/>
      <c r="P14" s="663"/>
      <c r="Q14" s="665"/>
      <c r="R14" s="665"/>
      <c r="S14" s="677"/>
      <c r="T14" s="67"/>
      <c r="U14" s="67"/>
      <c r="V14" s="66"/>
      <c r="W14" s="67"/>
      <c r="X14" s="67"/>
      <c r="Y14" s="97"/>
    </row>
    <row r="15" spans="1:25" s="1" customFormat="1" ht="15.75" customHeight="1" x14ac:dyDescent="0.25">
      <c r="A15" s="8">
        <v>9</v>
      </c>
      <c r="B15" s="117" t="s">
        <v>46</v>
      </c>
      <c r="C15" s="105" t="s">
        <v>36</v>
      </c>
      <c r="D15" s="71" t="s">
        <v>47</v>
      </c>
      <c r="E15" s="129" t="s">
        <v>48</v>
      </c>
      <c r="F15" s="129" t="s">
        <v>49</v>
      </c>
      <c r="G15" s="538">
        <v>12598324.369999999</v>
      </c>
      <c r="H15" s="122">
        <f t="shared" si="0"/>
        <v>1.6070251425114555E-2</v>
      </c>
      <c r="I15" s="562">
        <v>4.8999999999999998E-3</v>
      </c>
      <c r="J15" s="131"/>
      <c r="K15" s="125"/>
      <c r="L15" s="132" t="s">
        <v>40</v>
      </c>
      <c r="M15" s="547">
        <v>315675443.5</v>
      </c>
      <c r="N15" s="133">
        <f t="shared" si="1"/>
        <v>3.9909104839825779E-2</v>
      </c>
      <c r="O15" s="660"/>
      <c r="P15" s="663"/>
      <c r="Q15" s="665"/>
      <c r="R15" s="665"/>
      <c r="S15" s="677"/>
      <c r="T15" s="67"/>
      <c r="U15" s="67"/>
      <c r="V15" s="66"/>
      <c r="W15" s="67"/>
      <c r="X15" s="67"/>
      <c r="Y15" s="97"/>
    </row>
    <row r="16" spans="1:25" s="1" customFormat="1" ht="16.5" thickBot="1" x14ac:dyDescent="0.3">
      <c r="A16" s="8">
        <v>10</v>
      </c>
      <c r="B16" s="134" t="s">
        <v>50</v>
      </c>
      <c r="C16" s="93" t="s">
        <v>51</v>
      </c>
      <c r="D16" s="71" t="s">
        <v>52</v>
      </c>
      <c r="E16" s="120" t="s">
        <v>38</v>
      </c>
      <c r="F16" s="120" t="s">
        <v>38</v>
      </c>
      <c r="G16" s="568">
        <v>52576790.689999998</v>
      </c>
      <c r="H16" s="122">
        <f t="shared" si="0"/>
        <v>6.7066239977588565E-2</v>
      </c>
      <c r="I16" s="531">
        <v>5.3179999999999998E-3</v>
      </c>
      <c r="J16" s="136"/>
      <c r="K16" s="137"/>
      <c r="L16" s="138" t="s">
        <v>53</v>
      </c>
      <c r="M16" s="548">
        <v>6991874867.3299999</v>
      </c>
      <c r="N16" s="133">
        <f t="shared" si="1"/>
        <v>7.5196984625209105E-3</v>
      </c>
      <c r="O16" s="660"/>
      <c r="P16" s="663"/>
      <c r="Q16" s="665"/>
      <c r="R16" s="665"/>
      <c r="S16" s="677"/>
      <c r="T16" s="67"/>
      <c r="U16" s="67"/>
      <c r="V16" s="66"/>
      <c r="W16" s="67"/>
      <c r="X16" s="67"/>
      <c r="Y16" s="97"/>
    </row>
    <row r="17" spans="1:25" s="1" customFormat="1" ht="16.5" thickBot="1" x14ac:dyDescent="0.3">
      <c r="A17" s="8">
        <v>11</v>
      </c>
      <c r="B17" s="134" t="s">
        <v>50</v>
      </c>
      <c r="C17" s="93" t="s">
        <v>51</v>
      </c>
      <c r="D17" s="71" t="s">
        <v>54</v>
      </c>
      <c r="E17" s="120" t="s">
        <v>38</v>
      </c>
      <c r="F17" s="120" t="s">
        <v>38</v>
      </c>
      <c r="G17" s="568">
        <v>106154743.59</v>
      </c>
      <c r="H17" s="122">
        <f t="shared" si="0"/>
        <v>0.13540954887001913</v>
      </c>
      <c r="I17" s="531">
        <v>1.1694E-2</v>
      </c>
      <c r="J17" s="136"/>
      <c r="K17" s="137"/>
      <c r="L17" s="138" t="s">
        <v>53</v>
      </c>
      <c r="M17" s="548">
        <v>2813285709.3299999</v>
      </c>
      <c r="N17" s="133">
        <f t="shared" si="1"/>
        <v>3.7733367513277334E-2</v>
      </c>
      <c r="O17" s="660"/>
      <c r="P17" s="663"/>
      <c r="Q17" s="665"/>
      <c r="R17" s="665"/>
      <c r="S17" s="677"/>
      <c r="T17" s="67"/>
      <c r="U17" s="67"/>
      <c r="V17" s="66"/>
      <c r="W17" s="67"/>
      <c r="X17" s="67"/>
      <c r="Y17" s="97"/>
    </row>
    <row r="18" spans="1:25" s="1" customFormat="1" ht="15.75" x14ac:dyDescent="0.25">
      <c r="A18" s="8">
        <v>12</v>
      </c>
      <c r="B18" s="55" t="s">
        <v>55</v>
      </c>
      <c r="C18" s="105" t="s">
        <v>36</v>
      </c>
      <c r="D18" s="71" t="s">
        <v>56</v>
      </c>
      <c r="E18" s="140" t="s">
        <v>38</v>
      </c>
      <c r="F18" s="140" t="s">
        <v>39</v>
      </c>
      <c r="G18" s="565">
        <v>6908403.5499999998</v>
      </c>
      <c r="H18" s="122">
        <f t="shared" si="0"/>
        <v>8.8122657215448374E-3</v>
      </c>
      <c r="I18" s="531">
        <v>5.1000000000000004E-3</v>
      </c>
      <c r="J18" s="143"/>
      <c r="K18" s="144"/>
      <c r="L18" s="145" t="s">
        <v>53</v>
      </c>
      <c r="M18" s="569">
        <v>1762293081</v>
      </c>
      <c r="N18" s="146">
        <f t="shared" si="1"/>
        <v>3.9201218142897541E-3</v>
      </c>
      <c r="O18" s="660"/>
      <c r="P18" s="663"/>
      <c r="Q18" s="665"/>
      <c r="R18" s="665"/>
      <c r="S18" s="677"/>
      <c r="T18" s="67"/>
      <c r="U18" s="67"/>
      <c r="V18" s="66"/>
      <c r="W18" s="67"/>
      <c r="X18" s="67"/>
      <c r="Y18" s="97"/>
    </row>
    <row r="19" spans="1:25" s="1" customFormat="1" ht="16.5" thickBot="1" x14ac:dyDescent="0.3">
      <c r="A19" s="147">
        <v>13</v>
      </c>
      <c r="B19" s="272" t="s">
        <v>57</v>
      </c>
      <c r="C19" s="370"/>
      <c r="D19" s="93" t="s">
        <v>58</v>
      </c>
      <c r="E19" s="181" t="s">
        <v>38</v>
      </c>
      <c r="F19" s="181" t="s">
        <v>39</v>
      </c>
      <c r="G19" s="544">
        <v>7101831.4199999999</v>
      </c>
      <c r="H19" s="122">
        <f t="shared" si="0"/>
        <v>9.058999684906378E-3</v>
      </c>
      <c r="I19" s="555">
        <v>5.1000000000000004E-3</v>
      </c>
      <c r="J19" s="373"/>
      <c r="K19" s="204"/>
      <c r="L19" s="374" t="s">
        <v>40</v>
      </c>
      <c r="M19" s="573">
        <v>59474173.159999996</v>
      </c>
      <c r="N19" s="186">
        <f t="shared" si="1"/>
        <v>0.1194103430558731</v>
      </c>
      <c r="O19" s="661"/>
      <c r="P19" s="664"/>
      <c r="Q19" s="656"/>
      <c r="R19" s="656"/>
      <c r="S19" s="658"/>
      <c r="T19" s="67"/>
      <c r="U19" s="67"/>
      <c r="V19" s="66"/>
      <c r="W19" s="67"/>
      <c r="X19" s="67"/>
      <c r="Y19" s="97"/>
    </row>
    <row r="20" spans="1:25" s="1" customFormat="1" ht="16.5" thickBot="1" x14ac:dyDescent="0.3">
      <c r="A20" s="217"/>
      <c r="B20" s="405" t="s">
        <v>173</v>
      </c>
      <c r="C20" s="406"/>
      <c r="D20" s="407"/>
      <c r="E20" s="408"/>
      <c r="F20" s="408"/>
      <c r="G20" s="387"/>
      <c r="H20" s="44"/>
      <c r="I20" s="44"/>
      <c r="J20" s="44"/>
      <c r="K20" s="378"/>
      <c r="L20" s="382"/>
      <c r="M20" s="375"/>
      <c r="N20" s="219"/>
      <c r="O20" s="376" t="s">
        <v>41</v>
      </c>
      <c r="P20" s="362">
        <v>0</v>
      </c>
      <c r="Q20" s="201">
        <v>1</v>
      </c>
      <c r="R20" s="103">
        <v>0</v>
      </c>
      <c r="S20" s="517" t="s">
        <v>168</v>
      </c>
      <c r="T20" s="67"/>
      <c r="U20" s="67"/>
      <c r="V20" s="66"/>
      <c r="W20" s="67"/>
      <c r="X20" s="67"/>
      <c r="Y20" s="97"/>
    </row>
    <row r="21" spans="1:25" s="1" customFormat="1" ht="16.5" thickBot="1" x14ac:dyDescent="0.3">
      <c r="A21" s="217"/>
      <c r="B21" s="405" t="s">
        <v>169</v>
      </c>
      <c r="C21" s="406"/>
      <c r="D21" s="409"/>
      <c r="E21" s="410"/>
      <c r="F21" s="410"/>
      <c r="G21" s="388"/>
      <c r="H21" s="44"/>
      <c r="I21" s="130"/>
      <c r="J21" s="130"/>
      <c r="K21" s="232"/>
      <c r="L21" s="126"/>
      <c r="M21" s="380"/>
      <c r="N21" s="263"/>
      <c r="O21" s="381" t="s">
        <v>41</v>
      </c>
      <c r="P21" s="384">
        <v>0</v>
      </c>
      <c r="Q21" s="200">
        <v>0.05</v>
      </c>
      <c r="R21" s="201">
        <v>0</v>
      </c>
      <c r="S21" s="202" t="s">
        <v>170</v>
      </c>
      <c r="T21" s="67"/>
      <c r="U21" s="67"/>
      <c r="V21" s="66"/>
      <c r="W21" s="67"/>
      <c r="X21" s="67"/>
      <c r="Y21" s="97"/>
    </row>
    <row r="22" spans="1:25" s="54" customFormat="1" ht="16.5" thickBot="1" x14ac:dyDescent="0.25">
      <c r="A22" s="40"/>
      <c r="B22" s="402" t="s">
        <v>171</v>
      </c>
      <c r="C22" s="403"/>
      <c r="D22" s="404"/>
      <c r="E22" s="404"/>
      <c r="F22" s="404"/>
      <c r="G22" s="43"/>
      <c r="H22" s="44">
        <f>G22/$G$71</f>
        <v>0</v>
      </c>
      <c r="I22" s="98"/>
      <c r="J22" s="45"/>
      <c r="K22" s="45"/>
      <c r="L22" s="383"/>
      <c r="M22" s="148"/>
      <c r="N22" s="149"/>
      <c r="O22" s="163"/>
      <c r="P22" s="386"/>
      <c r="Q22" s="519"/>
      <c r="R22" s="386"/>
      <c r="S22" s="152"/>
      <c r="T22" s="53"/>
      <c r="U22" s="53"/>
      <c r="V22" s="53"/>
      <c r="W22" s="53"/>
      <c r="X22" s="53"/>
      <c r="Y22" s="53"/>
    </row>
    <row r="23" spans="1:25" s="1" customFormat="1" ht="16.5" thickBot="1" x14ac:dyDescent="0.3">
      <c r="A23" s="8"/>
      <c r="B23" s="411" t="s">
        <v>181</v>
      </c>
      <c r="C23" s="406"/>
      <c r="D23" s="412"/>
      <c r="E23" s="408"/>
      <c r="F23" s="410"/>
      <c r="G23" s="367"/>
      <c r="H23" s="393"/>
      <c r="I23" s="260"/>
      <c r="J23" s="260"/>
      <c r="K23" s="395"/>
      <c r="L23" s="368"/>
      <c r="M23" s="396"/>
      <c r="N23" s="44"/>
      <c r="O23" s="385" t="s">
        <v>172</v>
      </c>
      <c r="P23" s="384">
        <v>0</v>
      </c>
      <c r="Q23" s="201">
        <v>0.6</v>
      </c>
      <c r="R23" s="518">
        <v>0</v>
      </c>
      <c r="S23" s="379" t="s">
        <v>180</v>
      </c>
      <c r="T23" s="162"/>
      <c r="U23" s="67"/>
      <c r="V23" s="66"/>
      <c r="W23" s="66"/>
      <c r="X23" s="66"/>
      <c r="Y23" s="68"/>
    </row>
    <row r="24" spans="1:25" s="54" customFormat="1" ht="16.5" thickBot="1" x14ac:dyDescent="0.25">
      <c r="A24" s="40"/>
      <c r="B24" s="402" t="s">
        <v>176</v>
      </c>
      <c r="C24" s="403"/>
      <c r="D24" s="404"/>
      <c r="E24" s="404"/>
      <c r="F24" s="404"/>
      <c r="G24" s="397">
        <f>SUM(G25:G34)</f>
        <v>203369588.75999999</v>
      </c>
      <c r="H24" s="260">
        <f t="shared" ref="H24:H34" si="2">G24/$G$71</f>
        <v>0.25941548475905385</v>
      </c>
      <c r="I24" s="392"/>
      <c r="J24" s="99"/>
      <c r="K24" s="187"/>
      <c r="L24" s="45"/>
      <c r="M24" s="148"/>
      <c r="N24" s="149"/>
      <c r="O24" s="42"/>
      <c r="P24" s="519"/>
      <c r="Q24" s="519"/>
      <c r="R24" s="520"/>
      <c r="S24" s="163"/>
      <c r="T24" s="53"/>
      <c r="U24" s="53"/>
      <c r="V24" s="53"/>
      <c r="W24" s="53"/>
      <c r="X24" s="53"/>
      <c r="Y24" s="53"/>
    </row>
    <row r="25" spans="1:25" s="1" customFormat="1" ht="15.75" x14ac:dyDescent="0.25">
      <c r="A25" s="8">
        <v>18</v>
      </c>
      <c r="B25" s="55" t="s">
        <v>67</v>
      </c>
      <c r="C25" s="157" t="s">
        <v>68</v>
      </c>
      <c r="D25" s="71" t="s">
        <v>69</v>
      </c>
      <c r="E25" s="140" t="s">
        <v>70</v>
      </c>
      <c r="F25" s="140" t="s">
        <v>70</v>
      </c>
      <c r="G25" s="565">
        <v>0</v>
      </c>
      <c r="H25" s="164">
        <f t="shared" si="2"/>
        <v>0</v>
      </c>
      <c r="I25" s="557">
        <v>0</v>
      </c>
      <c r="J25" s="166"/>
      <c r="K25" s="167"/>
      <c r="L25" s="168" t="s">
        <v>71</v>
      </c>
      <c r="M25" s="566">
        <v>6893035004.8800001</v>
      </c>
      <c r="N25" s="133">
        <f t="shared" ref="N25:N32" si="3">G25/M25</f>
        <v>0</v>
      </c>
      <c r="O25" s="659" t="s">
        <v>60</v>
      </c>
      <c r="P25" s="662">
        <f>SUM(G25:G34)/G71</f>
        <v>0.25941548475905385</v>
      </c>
      <c r="Q25" s="655">
        <v>0.4</v>
      </c>
      <c r="R25" s="655">
        <v>0.3</v>
      </c>
      <c r="S25" s="657" t="s">
        <v>177</v>
      </c>
      <c r="T25" s="67"/>
      <c r="U25" s="67"/>
      <c r="V25" s="66"/>
      <c r="W25" s="67"/>
      <c r="X25" s="67"/>
      <c r="Y25" s="97"/>
    </row>
    <row r="26" spans="1:25" s="1" customFormat="1" ht="15.75" x14ac:dyDescent="0.25">
      <c r="A26" s="8">
        <v>19</v>
      </c>
      <c r="B26" s="55" t="s">
        <v>72</v>
      </c>
      <c r="C26" s="157" t="s">
        <v>68</v>
      </c>
      <c r="D26" s="71" t="s">
        <v>73</v>
      </c>
      <c r="E26" s="140" t="s">
        <v>70</v>
      </c>
      <c r="F26" s="140" t="s">
        <v>74</v>
      </c>
      <c r="G26" s="565">
        <v>12612603.859999999</v>
      </c>
      <c r="H26" s="164">
        <f t="shared" si="2"/>
        <v>1.6088466148579596E-2</v>
      </c>
      <c r="I26" s="526">
        <v>4.0000000000000001E-3</v>
      </c>
      <c r="J26" s="124"/>
      <c r="K26" s="144"/>
      <c r="L26" s="145" t="s">
        <v>71</v>
      </c>
      <c r="M26" s="566">
        <v>8426760515.3500004</v>
      </c>
      <c r="N26" s="133">
        <f t="shared" si="3"/>
        <v>1.4967322065252903E-3</v>
      </c>
      <c r="O26" s="660"/>
      <c r="P26" s="663"/>
      <c r="Q26" s="665"/>
      <c r="R26" s="665"/>
      <c r="S26" s="677"/>
      <c r="T26" s="67"/>
      <c r="U26" s="67"/>
      <c r="V26" s="66"/>
      <c r="W26" s="67"/>
      <c r="X26" s="67"/>
      <c r="Y26" s="97"/>
    </row>
    <row r="27" spans="1:25" s="1" customFormat="1" ht="15.75" x14ac:dyDescent="0.25">
      <c r="A27" s="8"/>
      <c r="B27" s="55" t="s">
        <v>72</v>
      </c>
      <c r="C27" s="157" t="s">
        <v>68</v>
      </c>
      <c r="D27" s="71" t="s">
        <v>69</v>
      </c>
      <c r="E27" s="140" t="s">
        <v>70</v>
      </c>
      <c r="F27" s="140" t="s">
        <v>70</v>
      </c>
      <c r="G27" s="565">
        <v>93503.51</v>
      </c>
      <c r="H27" s="164">
        <f t="shared" si="2"/>
        <v>1.19271807162615E-4</v>
      </c>
      <c r="I27" s="526">
        <v>4.5999999999999999E-3</v>
      </c>
      <c r="J27" s="171"/>
      <c r="K27" s="172"/>
      <c r="L27" s="145" t="s">
        <v>71</v>
      </c>
      <c r="M27" s="566">
        <v>6893035004.8800001</v>
      </c>
      <c r="N27" s="133">
        <f t="shared" ref="N27" si="4">G27/M27</f>
        <v>1.3564926035310012E-5</v>
      </c>
      <c r="O27" s="660"/>
      <c r="P27" s="663"/>
      <c r="Q27" s="665"/>
      <c r="R27" s="665"/>
      <c r="S27" s="677"/>
      <c r="T27" s="67"/>
      <c r="U27" s="67"/>
      <c r="V27" s="66"/>
      <c r="W27" s="67"/>
      <c r="X27" s="67"/>
      <c r="Y27" s="97"/>
    </row>
    <row r="28" spans="1:25" s="1" customFormat="1" ht="15.75" x14ac:dyDescent="0.25">
      <c r="A28" s="8"/>
      <c r="B28" s="55" t="s">
        <v>42</v>
      </c>
      <c r="C28" s="56" t="s">
        <v>43</v>
      </c>
      <c r="D28" s="57" t="s">
        <v>59</v>
      </c>
      <c r="E28" s="119" t="s">
        <v>38</v>
      </c>
      <c r="F28" s="129" t="s">
        <v>39</v>
      </c>
      <c r="G28" s="538">
        <v>52587120.090000004</v>
      </c>
      <c r="H28" s="82">
        <f t="shared" si="2"/>
        <v>6.7079416019909396E-2</v>
      </c>
      <c r="I28" s="531">
        <v>5.4749999999999998E-3</v>
      </c>
      <c r="J28" s="124"/>
      <c r="K28" s="172"/>
      <c r="L28" s="132" t="s">
        <v>40</v>
      </c>
      <c r="M28" s="567">
        <v>1077260403.3299999</v>
      </c>
      <c r="N28" s="133">
        <f>G28/M28</f>
        <v>4.8815606632754749E-2</v>
      </c>
      <c r="O28" s="660"/>
      <c r="P28" s="663"/>
      <c r="Q28" s="665"/>
      <c r="R28" s="665"/>
      <c r="S28" s="677"/>
      <c r="T28" s="67"/>
      <c r="U28" s="67"/>
      <c r="V28" s="66"/>
      <c r="W28" s="67"/>
      <c r="X28" s="67"/>
      <c r="Y28" s="97"/>
    </row>
    <row r="29" spans="1:25" s="1" customFormat="1" ht="16.5" thickBot="1" x14ac:dyDescent="0.3">
      <c r="A29" s="8">
        <v>21</v>
      </c>
      <c r="B29" s="173" t="s">
        <v>75</v>
      </c>
      <c r="C29" s="174"/>
      <c r="D29" s="175" t="s">
        <v>76</v>
      </c>
      <c r="E29" s="140" t="s">
        <v>38</v>
      </c>
      <c r="F29" s="129" t="s">
        <v>39</v>
      </c>
      <c r="G29" s="538">
        <v>16092457.49</v>
      </c>
      <c r="H29" s="176">
        <f t="shared" si="2"/>
        <v>2.0527320167123775E-2</v>
      </c>
      <c r="I29" s="540">
        <v>4.7000000000000002E-3</v>
      </c>
      <c r="J29" s="177"/>
      <c r="K29" s="178"/>
      <c r="L29" s="126" t="s">
        <v>71</v>
      </c>
      <c r="M29" s="541">
        <v>190519457.52000001</v>
      </c>
      <c r="N29" s="133">
        <f t="shared" si="3"/>
        <v>8.4466215154484547E-2</v>
      </c>
      <c r="O29" s="660"/>
      <c r="P29" s="663"/>
      <c r="Q29" s="665"/>
      <c r="R29" s="665"/>
      <c r="S29" s="677"/>
      <c r="T29" s="67"/>
      <c r="U29" s="67"/>
      <c r="V29" s="66"/>
      <c r="W29" s="67"/>
      <c r="X29" s="67"/>
      <c r="Y29" s="97"/>
    </row>
    <row r="30" spans="1:25" s="1" customFormat="1" ht="16.5" thickBot="1" x14ac:dyDescent="0.3">
      <c r="A30" s="8">
        <v>22</v>
      </c>
      <c r="B30" s="55" t="s">
        <v>55</v>
      </c>
      <c r="C30" s="105" t="s">
        <v>77</v>
      </c>
      <c r="D30" s="71" t="s">
        <v>78</v>
      </c>
      <c r="E30" s="140" t="s">
        <v>38</v>
      </c>
      <c r="F30" s="140" t="s">
        <v>38</v>
      </c>
      <c r="G30" s="565">
        <v>6342432.0800000001</v>
      </c>
      <c r="H30" s="142">
        <f t="shared" si="2"/>
        <v>8.0903202028217262E-3</v>
      </c>
      <c r="I30" s="531">
        <v>4.4999999999999997E-3</v>
      </c>
      <c r="J30" s="143"/>
      <c r="K30" s="144"/>
      <c r="L30" s="126" t="s">
        <v>71</v>
      </c>
      <c r="M30" s="569">
        <v>10845052436</v>
      </c>
      <c r="N30" s="133">
        <f t="shared" si="3"/>
        <v>5.8482262925224648E-4</v>
      </c>
      <c r="O30" s="660"/>
      <c r="P30" s="663"/>
      <c r="Q30" s="665"/>
      <c r="R30" s="665"/>
      <c r="S30" s="677"/>
      <c r="T30" s="67"/>
      <c r="U30" s="67"/>
      <c r="V30" s="66"/>
      <c r="W30" s="67"/>
      <c r="X30" s="67"/>
      <c r="Y30" s="97"/>
    </row>
    <row r="31" spans="1:25" s="1" customFormat="1" ht="15.75" x14ac:dyDescent="0.25">
      <c r="A31" s="8">
        <v>23</v>
      </c>
      <c r="B31" s="55" t="s">
        <v>55</v>
      </c>
      <c r="C31" s="105" t="s">
        <v>36</v>
      </c>
      <c r="D31" s="71" t="s">
        <v>79</v>
      </c>
      <c r="E31" s="140" t="s">
        <v>38</v>
      </c>
      <c r="F31" s="140" t="s">
        <v>39</v>
      </c>
      <c r="G31" s="565">
        <v>26517126.02</v>
      </c>
      <c r="H31" s="142">
        <f t="shared" si="2"/>
        <v>3.3824885730644773E-2</v>
      </c>
      <c r="I31" s="531">
        <v>7.4000000000000003E-3</v>
      </c>
      <c r="J31" s="143"/>
      <c r="K31" s="144"/>
      <c r="L31" s="145" t="s">
        <v>80</v>
      </c>
      <c r="M31" s="569">
        <v>1494460540</v>
      </c>
      <c r="N31" s="133">
        <f t="shared" si="3"/>
        <v>1.7743610694465041E-2</v>
      </c>
      <c r="O31" s="660"/>
      <c r="P31" s="663"/>
      <c r="Q31" s="665"/>
      <c r="R31" s="665"/>
      <c r="S31" s="677"/>
      <c r="T31" s="67"/>
      <c r="U31" s="67"/>
      <c r="V31" s="66"/>
      <c r="W31" s="67"/>
      <c r="X31" s="67"/>
      <c r="Y31" s="97"/>
    </row>
    <row r="32" spans="1:25" s="1" customFormat="1" ht="15.75" x14ac:dyDescent="0.25">
      <c r="A32" s="8">
        <v>24</v>
      </c>
      <c r="B32" s="173" t="s">
        <v>62</v>
      </c>
      <c r="C32" s="180"/>
      <c r="D32" s="505" t="s">
        <v>81</v>
      </c>
      <c r="E32" s="129" t="s">
        <v>38</v>
      </c>
      <c r="F32" s="209" t="s">
        <v>38</v>
      </c>
      <c r="G32" s="529">
        <v>13795828.65</v>
      </c>
      <c r="H32" s="506">
        <f t="shared" si="2"/>
        <v>1.7597771617250298E-2</v>
      </c>
      <c r="I32" s="540">
        <v>4.8999999999999998E-3</v>
      </c>
      <c r="J32" s="211"/>
      <c r="K32" s="232"/>
      <c r="L32" s="126" t="s">
        <v>71</v>
      </c>
      <c r="M32" s="541">
        <v>9332891240.2199993</v>
      </c>
      <c r="N32" s="146">
        <f t="shared" si="3"/>
        <v>1.4781945160302541E-3</v>
      </c>
      <c r="O32" s="660"/>
      <c r="P32" s="663"/>
      <c r="Q32" s="665"/>
      <c r="R32" s="665"/>
      <c r="S32" s="677"/>
      <c r="T32" s="67"/>
      <c r="U32" s="67"/>
      <c r="V32" s="66"/>
      <c r="W32" s="67"/>
      <c r="X32" s="67"/>
      <c r="Y32" s="97"/>
    </row>
    <row r="33" spans="1:25" s="1" customFormat="1" ht="15.75" x14ac:dyDescent="0.25">
      <c r="A33" s="8"/>
      <c r="B33" s="55" t="s">
        <v>62</v>
      </c>
      <c r="C33" s="157" t="s">
        <v>63</v>
      </c>
      <c r="D33" s="158" t="s">
        <v>64</v>
      </c>
      <c r="E33" s="119" t="s">
        <v>38</v>
      </c>
      <c r="F33" s="119" t="s">
        <v>39</v>
      </c>
      <c r="G33" s="538">
        <v>47953802.200000003</v>
      </c>
      <c r="H33" s="73">
        <f t="shared" si="2"/>
        <v>6.1169218660482201E-2</v>
      </c>
      <c r="I33" s="545">
        <v>5.4999999999999997E-3</v>
      </c>
      <c r="J33" s="390"/>
      <c r="K33" s="391"/>
      <c r="L33" s="160" t="s">
        <v>40</v>
      </c>
      <c r="M33" s="547">
        <v>1445928639.25</v>
      </c>
      <c r="N33" s="133">
        <f>G33/M33</f>
        <v>3.3164708754142624E-2</v>
      </c>
      <c r="O33" s="660"/>
      <c r="P33" s="663"/>
      <c r="Q33" s="665"/>
      <c r="R33" s="665"/>
      <c r="S33" s="677"/>
      <c r="T33" s="67"/>
      <c r="U33" s="67"/>
      <c r="V33" s="66"/>
      <c r="W33" s="67"/>
      <c r="X33" s="67"/>
      <c r="Y33" s="97"/>
    </row>
    <row r="34" spans="1:25" s="1" customFormat="1" ht="16.5" thickBot="1" x14ac:dyDescent="0.3">
      <c r="A34" s="8"/>
      <c r="B34" s="511" t="s">
        <v>62</v>
      </c>
      <c r="C34" s="157" t="s">
        <v>65</v>
      </c>
      <c r="D34" s="512" t="s">
        <v>66</v>
      </c>
      <c r="E34" s="389" t="s">
        <v>38</v>
      </c>
      <c r="F34" s="389" t="s">
        <v>39</v>
      </c>
      <c r="G34" s="544">
        <v>27374714.859999999</v>
      </c>
      <c r="H34" s="95">
        <f t="shared" si="2"/>
        <v>3.4918814405079462E-2</v>
      </c>
      <c r="I34" s="546">
        <v>5.7000000000000002E-3</v>
      </c>
      <c r="J34" s="196"/>
      <c r="K34" s="197"/>
      <c r="L34" s="374" t="s">
        <v>53</v>
      </c>
      <c r="M34" s="548">
        <v>445176324.69</v>
      </c>
      <c r="N34" s="146">
        <f>G34/M34</f>
        <v>6.1491847930283519E-2</v>
      </c>
      <c r="O34" s="661"/>
      <c r="P34" s="664"/>
      <c r="Q34" s="656"/>
      <c r="R34" s="656"/>
      <c r="S34" s="658"/>
      <c r="T34" s="67"/>
      <c r="U34" s="67"/>
      <c r="V34" s="66"/>
      <c r="W34" s="67"/>
      <c r="X34" s="67"/>
      <c r="Y34" s="97"/>
    </row>
    <row r="35" spans="1:25" s="1" customFormat="1" ht="16.5" thickBot="1" x14ac:dyDescent="0.3">
      <c r="A35" s="8"/>
      <c r="B35" s="414" t="s">
        <v>178</v>
      </c>
      <c r="C35" s="406"/>
      <c r="D35" s="409"/>
      <c r="E35" s="413"/>
      <c r="F35" s="413"/>
      <c r="G35" s="387"/>
      <c r="H35" s="260"/>
      <c r="I35" s="44"/>
      <c r="J35" s="260"/>
      <c r="K35" s="183"/>
      <c r="L35" s="398"/>
      <c r="M35" s="507"/>
      <c r="N35" s="508"/>
      <c r="O35" s="400" t="s">
        <v>60</v>
      </c>
      <c r="P35" s="384">
        <v>0</v>
      </c>
      <c r="Q35" s="200">
        <v>0.4</v>
      </c>
      <c r="R35" s="201">
        <v>0</v>
      </c>
      <c r="S35" s="202" t="s">
        <v>179</v>
      </c>
      <c r="T35" s="67"/>
      <c r="U35" s="67"/>
      <c r="V35" s="66"/>
      <c r="W35" s="67"/>
      <c r="X35" s="67"/>
      <c r="Y35" s="97"/>
    </row>
    <row r="36" spans="1:25" s="1" customFormat="1" ht="16.5" thickBot="1" x14ac:dyDescent="0.3">
      <c r="A36" s="8"/>
      <c r="B36" s="503" t="s">
        <v>182</v>
      </c>
      <c r="C36" s="406"/>
      <c r="D36" s="504"/>
      <c r="E36" s="413"/>
      <c r="F36" s="413"/>
      <c r="G36" s="387"/>
      <c r="H36" s="260"/>
      <c r="I36" s="44"/>
      <c r="J36" s="260"/>
      <c r="K36" s="183"/>
      <c r="L36" s="398"/>
      <c r="M36" s="185"/>
      <c r="N36" s="260"/>
      <c r="O36" s="399" t="s">
        <v>60</v>
      </c>
      <c r="P36" s="384">
        <v>0</v>
      </c>
      <c r="Q36" s="201">
        <v>0.2</v>
      </c>
      <c r="R36" s="103">
        <v>0</v>
      </c>
      <c r="S36" s="202" t="s">
        <v>183</v>
      </c>
      <c r="T36" s="67"/>
      <c r="U36" s="67"/>
      <c r="V36" s="66"/>
      <c r="W36" s="67"/>
      <c r="X36" s="67"/>
      <c r="Y36" s="97"/>
    </row>
    <row r="37" spans="1:25" s="1" customFormat="1" ht="16.5" thickBot="1" x14ac:dyDescent="0.3">
      <c r="A37" s="8"/>
      <c r="B37" s="411" t="s">
        <v>184</v>
      </c>
      <c r="C37" s="406"/>
      <c r="D37" s="504"/>
      <c r="E37" s="413"/>
      <c r="F37" s="413"/>
      <c r="G37" s="377"/>
      <c r="H37" s="260"/>
      <c r="I37" s="44"/>
      <c r="J37" s="260"/>
      <c r="K37" s="183"/>
      <c r="L37" s="398"/>
      <c r="M37" s="185"/>
      <c r="N37" s="260"/>
      <c r="O37" s="369" t="s">
        <v>60</v>
      </c>
      <c r="P37" s="362">
        <v>0</v>
      </c>
      <c r="Q37" s="102">
        <v>0.15</v>
      </c>
      <c r="R37" s="103">
        <v>0</v>
      </c>
      <c r="S37" s="202" t="s">
        <v>186</v>
      </c>
      <c r="T37" s="67"/>
      <c r="U37" s="67"/>
      <c r="V37" s="66"/>
      <c r="W37" s="67"/>
      <c r="X37" s="67"/>
      <c r="Y37" s="97"/>
    </row>
    <row r="38" spans="1:25" s="1" customFormat="1" ht="16.5" thickBot="1" x14ac:dyDescent="0.3">
      <c r="A38" s="8"/>
      <c r="B38" s="411" t="s">
        <v>185</v>
      </c>
      <c r="C38" s="509"/>
      <c r="D38" s="504"/>
      <c r="E38" s="413"/>
      <c r="F38" s="413"/>
      <c r="G38" s="377"/>
      <c r="H38" s="260"/>
      <c r="I38" s="44"/>
      <c r="J38" s="260"/>
      <c r="K38" s="183"/>
      <c r="L38" s="398"/>
      <c r="M38" s="185"/>
      <c r="N38" s="260"/>
      <c r="O38" s="369" t="s">
        <v>60</v>
      </c>
      <c r="P38" s="362">
        <v>0</v>
      </c>
      <c r="Q38" s="102">
        <v>0.15</v>
      </c>
      <c r="R38" s="103">
        <v>0</v>
      </c>
      <c r="S38" s="202" t="s">
        <v>187</v>
      </c>
      <c r="T38" s="67"/>
      <c r="U38" s="67"/>
      <c r="V38" s="66"/>
      <c r="W38" s="67"/>
      <c r="X38" s="67"/>
      <c r="Y38" s="97"/>
    </row>
    <row r="39" spans="1:25" s="54" customFormat="1" ht="16.5" thickBot="1" x14ac:dyDescent="0.25">
      <c r="A39" s="40"/>
      <c r="B39" s="510" t="s">
        <v>188</v>
      </c>
      <c r="C39" s="403"/>
      <c r="D39" s="404"/>
      <c r="E39" s="404"/>
      <c r="F39" s="404"/>
      <c r="G39" s="43">
        <f>SUM(G40:G42)</f>
        <v>7080992.3800000008</v>
      </c>
      <c r="H39" s="44">
        <f>G39/$G$71</f>
        <v>9.0324176885691939E-3</v>
      </c>
      <c r="I39" s="98"/>
      <c r="J39" s="45"/>
      <c r="K39" s="45"/>
      <c r="L39" s="187"/>
      <c r="M39" s="188"/>
      <c r="N39" s="189"/>
      <c r="O39" s="190"/>
      <c r="P39" s="191"/>
      <c r="Q39" s="519"/>
      <c r="R39" s="520"/>
      <c r="S39" s="152"/>
      <c r="T39" s="53"/>
      <c r="U39" s="53"/>
      <c r="V39" s="53"/>
      <c r="W39" s="53"/>
      <c r="X39" s="53"/>
      <c r="Y39" s="53"/>
    </row>
    <row r="40" spans="1:25" s="1" customFormat="1" ht="16.5" thickBot="1" x14ac:dyDescent="0.3">
      <c r="A40" s="8">
        <v>25</v>
      </c>
      <c r="B40" s="104" t="s">
        <v>82</v>
      </c>
      <c r="C40" s="118"/>
      <c r="D40" s="208" t="s">
        <v>83</v>
      </c>
      <c r="E40" s="120" t="s">
        <v>84</v>
      </c>
      <c r="F40" s="120" t="s">
        <v>85</v>
      </c>
      <c r="G40" s="559">
        <v>6967841.0700000003</v>
      </c>
      <c r="H40" s="225">
        <f>G40/$G$71</f>
        <v>8.8880834146310567E-3</v>
      </c>
      <c r="I40" s="545">
        <v>5.4000000000000003E-3</v>
      </c>
      <c r="J40" s="234"/>
      <c r="K40" s="429"/>
      <c r="L40" s="126" t="s">
        <v>71</v>
      </c>
      <c r="M40" s="574">
        <v>503124363</v>
      </c>
      <c r="N40" s="216">
        <f>G40/M40</f>
        <v>1.3849142642293394E-2</v>
      </c>
      <c r="O40" s="698" t="s">
        <v>60</v>
      </c>
      <c r="P40" s="662">
        <f>SUM(G40:G42)/G71</f>
        <v>9.0324176885691939E-3</v>
      </c>
      <c r="Q40" s="701">
        <v>0.05</v>
      </c>
      <c r="R40" s="675">
        <v>0.02</v>
      </c>
      <c r="S40" s="657" t="s">
        <v>193</v>
      </c>
      <c r="T40" s="67"/>
      <c r="U40" s="67"/>
      <c r="V40" s="67"/>
      <c r="W40" s="67"/>
      <c r="X40" s="66"/>
      <c r="Y40" s="68"/>
    </row>
    <row r="41" spans="1:25" s="1" customFormat="1" ht="15.75" customHeight="1" x14ac:dyDescent="0.25">
      <c r="A41" s="8">
        <v>26</v>
      </c>
      <c r="B41" s="117" t="s">
        <v>86</v>
      </c>
      <c r="C41" s="105" t="s">
        <v>87</v>
      </c>
      <c r="D41" s="71" t="s">
        <v>88</v>
      </c>
      <c r="E41" s="129" t="s">
        <v>89</v>
      </c>
      <c r="F41" s="129" t="s">
        <v>89</v>
      </c>
      <c r="G41" s="538">
        <v>39744.82</v>
      </c>
      <c r="H41" s="82">
        <f>G41/$G$71</f>
        <v>5.0697952480637831E-5</v>
      </c>
      <c r="I41" s="576">
        <v>-7.17E-2</v>
      </c>
      <c r="J41" s="124"/>
      <c r="K41" s="430"/>
      <c r="L41" s="132" t="s">
        <v>71</v>
      </c>
      <c r="M41" s="567">
        <v>2143264.92</v>
      </c>
      <c r="N41" s="133">
        <f>G41/M41</f>
        <v>1.8544053807403333E-2</v>
      </c>
      <c r="O41" s="699"/>
      <c r="P41" s="663"/>
      <c r="Q41" s="702"/>
      <c r="R41" s="697"/>
      <c r="S41" s="677"/>
      <c r="T41" s="67"/>
      <c r="U41" s="67"/>
      <c r="V41" s="66"/>
      <c r="W41" s="67"/>
      <c r="X41" s="66"/>
      <c r="Y41" s="68"/>
    </row>
    <row r="42" spans="1:25" s="1" customFormat="1" ht="16.5" thickBot="1" x14ac:dyDescent="0.3">
      <c r="A42" s="8">
        <v>27</v>
      </c>
      <c r="B42" s="192" t="s">
        <v>90</v>
      </c>
      <c r="C42" s="118"/>
      <c r="D42" s="92" t="s">
        <v>91</v>
      </c>
      <c r="E42" s="193" t="s">
        <v>89</v>
      </c>
      <c r="F42" s="193" t="s">
        <v>89</v>
      </c>
      <c r="G42" s="575">
        <v>73406.490000000005</v>
      </c>
      <c r="H42" s="195">
        <f>G42/$G$71</f>
        <v>9.3636321457498528E-5</v>
      </c>
      <c r="I42" s="577">
        <v>-4.0399999999999998E-2</v>
      </c>
      <c r="J42" s="161"/>
      <c r="K42" s="204"/>
      <c r="L42" s="184" t="s">
        <v>71</v>
      </c>
      <c r="M42" s="578">
        <v>5017508.99</v>
      </c>
      <c r="N42" s="186">
        <f>G42/M42</f>
        <v>1.4630066462521674E-2</v>
      </c>
      <c r="O42" s="700"/>
      <c r="P42" s="664"/>
      <c r="Q42" s="703"/>
      <c r="R42" s="676"/>
      <c r="S42" s="658"/>
      <c r="T42" s="67"/>
      <c r="U42" s="67"/>
      <c r="V42" s="66"/>
      <c r="W42" s="67"/>
      <c r="X42" s="66"/>
      <c r="Y42" s="68"/>
    </row>
    <row r="43" spans="1:25" s="1" customFormat="1" ht="16.5" thickBot="1" x14ac:dyDescent="0.3">
      <c r="A43" s="8"/>
      <c r="B43" s="414" t="s">
        <v>189</v>
      </c>
      <c r="C43" s="406"/>
      <c r="D43" s="415"/>
      <c r="E43" s="413"/>
      <c r="F43" s="413"/>
      <c r="G43" s="366"/>
      <c r="H43" s="260"/>
      <c r="I43" s="401"/>
      <c r="J43" s="260"/>
      <c r="K43" s="183"/>
      <c r="L43" s="398"/>
      <c r="M43" s="185"/>
      <c r="N43" s="44"/>
      <c r="O43" s="392" t="s">
        <v>60</v>
      </c>
      <c r="P43" s="384">
        <v>0</v>
      </c>
      <c r="Q43" s="200">
        <v>0.05</v>
      </c>
      <c r="R43" s="201">
        <v>0.01</v>
      </c>
      <c r="S43" s="517" t="s">
        <v>191</v>
      </c>
      <c r="T43" s="67"/>
      <c r="U43" s="67"/>
      <c r="V43" s="66"/>
      <c r="W43" s="67"/>
      <c r="X43" s="66"/>
      <c r="Y43" s="68"/>
    </row>
    <row r="44" spans="1:25" s="1" customFormat="1" ht="16.5" thickBot="1" x14ac:dyDescent="0.3">
      <c r="A44" s="8"/>
      <c r="B44" s="414" t="s">
        <v>190</v>
      </c>
      <c r="C44" s="406"/>
      <c r="D44" s="415"/>
      <c r="E44" s="413"/>
      <c r="F44" s="413"/>
      <c r="G44" s="366"/>
      <c r="H44" s="260"/>
      <c r="I44" s="401"/>
      <c r="J44" s="260"/>
      <c r="K44" s="183"/>
      <c r="L44" s="398"/>
      <c r="M44" s="185"/>
      <c r="N44" s="260"/>
      <c r="O44" s="392" t="s">
        <v>60</v>
      </c>
      <c r="P44" s="384">
        <v>0</v>
      </c>
      <c r="Q44" s="200">
        <v>0.05</v>
      </c>
      <c r="R44" s="201">
        <v>0</v>
      </c>
      <c r="S44" s="517" t="s">
        <v>192</v>
      </c>
      <c r="T44" s="67"/>
      <c r="U44" s="67"/>
      <c r="V44" s="66"/>
      <c r="W44" s="67"/>
      <c r="X44" s="66"/>
      <c r="Y44" s="68"/>
    </row>
    <row r="45" spans="1:25" s="54" customFormat="1" ht="16.5" thickBot="1" x14ac:dyDescent="0.25">
      <c r="A45" s="40"/>
      <c r="B45" s="402" t="s">
        <v>194</v>
      </c>
      <c r="C45" s="403"/>
      <c r="D45" s="404"/>
      <c r="E45" s="404"/>
      <c r="F45" s="404"/>
      <c r="G45" s="43">
        <f>SUM(G46:G48)</f>
        <v>58667382.390000001</v>
      </c>
      <c r="H45" s="44">
        <f t="shared" ref="H45:H56" si="5">G45/$G$71</f>
        <v>7.4835316012794348E-2</v>
      </c>
      <c r="I45" s="98"/>
      <c r="J45" s="45"/>
      <c r="K45" s="45"/>
      <c r="L45" s="45"/>
      <c r="M45" s="148"/>
      <c r="N45" s="101"/>
      <c r="O45" s="42"/>
      <c r="P45" s="205">
        <f>SUM((G4+G11+G22+G24+G39)/G71)*100</f>
        <v>79.207081155684563</v>
      </c>
      <c r="Q45" s="50"/>
      <c r="R45" s="520"/>
      <c r="S45" s="152"/>
      <c r="T45" s="53"/>
      <c r="U45" s="53"/>
      <c r="V45" s="53"/>
      <c r="W45" s="53"/>
      <c r="X45" s="53"/>
      <c r="Y45" s="53"/>
    </row>
    <row r="46" spans="1:25" s="1" customFormat="1" ht="15.75" x14ac:dyDescent="0.25">
      <c r="A46" s="8">
        <v>28</v>
      </c>
      <c r="B46" s="206" t="s">
        <v>55</v>
      </c>
      <c r="C46" s="207"/>
      <c r="D46" s="208" t="s">
        <v>92</v>
      </c>
      <c r="E46" s="209" t="s">
        <v>93</v>
      </c>
      <c r="F46" s="209" t="s">
        <v>94</v>
      </c>
      <c r="G46" s="571">
        <v>39539232.950000003</v>
      </c>
      <c r="H46" s="82">
        <f t="shared" si="5"/>
        <v>5.0435708432444021E-2</v>
      </c>
      <c r="I46" s="551">
        <v>1.17E-2</v>
      </c>
      <c r="J46" s="112"/>
      <c r="K46" s="125"/>
      <c r="L46" s="145" t="s">
        <v>95</v>
      </c>
      <c r="M46" s="572">
        <v>765238488.5</v>
      </c>
      <c r="N46" s="434">
        <f>G46/M46</f>
        <v>5.1669163985078363E-2</v>
      </c>
      <c r="O46" s="711" t="s">
        <v>96</v>
      </c>
      <c r="P46" s="680">
        <f>(SUM(G46:G48)/G71)</f>
        <v>7.4835316012794348E-2</v>
      </c>
      <c r="Q46" s="655">
        <v>0.3</v>
      </c>
      <c r="R46" s="655">
        <v>0.15</v>
      </c>
      <c r="S46" s="666" t="s">
        <v>196</v>
      </c>
      <c r="T46" s="67"/>
      <c r="U46" s="67"/>
      <c r="V46" s="66"/>
      <c r="W46" s="67"/>
      <c r="X46" s="67"/>
      <c r="Y46" s="212"/>
    </row>
    <row r="47" spans="1:25" s="1" customFormat="1" ht="15.75" x14ac:dyDescent="0.25">
      <c r="A47" s="8">
        <v>29</v>
      </c>
      <c r="B47" s="55" t="s">
        <v>97</v>
      </c>
      <c r="C47" s="207"/>
      <c r="D47" s="71" t="s">
        <v>98</v>
      </c>
      <c r="E47" s="129" t="s">
        <v>39</v>
      </c>
      <c r="F47" s="129" t="s">
        <v>49</v>
      </c>
      <c r="G47" s="528">
        <v>0</v>
      </c>
      <c r="H47" s="122">
        <f t="shared" si="5"/>
        <v>0</v>
      </c>
      <c r="I47" s="530">
        <v>0</v>
      </c>
      <c r="J47" s="124"/>
      <c r="K47" s="213"/>
      <c r="L47" s="132" t="s">
        <v>99</v>
      </c>
      <c r="M47" s="532">
        <v>72459141.430000007</v>
      </c>
      <c r="N47" s="435">
        <f>G47/M47</f>
        <v>0</v>
      </c>
      <c r="O47" s="712"/>
      <c r="P47" s="681"/>
      <c r="Q47" s="665"/>
      <c r="R47" s="665"/>
      <c r="S47" s="667"/>
      <c r="T47" s="67"/>
      <c r="U47" s="67"/>
      <c r="V47" s="66"/>
      <c r="W47" s="67"/>
      <c r="X47" s="67"/>
      <c r="Y47" s="212"/>
    </row>
    <row r="48" spans="1:25" s="1" customFormat="1" ht="16.5" thickBot="1" x14ac:dyDescent="0.3">
      <c r="A48" s="8"/>
      <c r="B48" s="245" t="s">
        <v>116</v>
      </c>
      <c r="C48" s="92" t="s">
        <v>100</v>
      </c>
      <c r="D48" s="549" t="s">
        <v>235</v>
      </c>
      <c r="E48" s="120" t="s">
        <v>39</v>
      </c>
      <c r="F48" s="120" t="s">
        <v>94</v>
      </c>
      <c r="G48" s="525">
        <v>19128149.440000001</v>
      </c>
      <c r="H48" s="240">
        <f t="shared" si="5"/>
        <v>2.4399607580350327E-2</v>
      </c>
      <c r="I48" s="555">
        <v>5.9999999999999995E-4</v>
      </c>
      <c r="J48" s="171"/>
      <c r="K48" s="552"/>
      <c r="L48" s="248" t="s">
        <v>236</v>
      </c>
      <c r="M48" s="556">
        <v>262043490.47999999</v>
      </c>
      <c r="N48" s="553">
        <f t="shared" ref="N48" si="6">G48/M48</f>
        <v>7.2996087042505348E-2</v>
      </c>
      <c r="O48" s="713"/>
      <c r="P48" s="714"/>
      <c r="Q48" s="656"/>
      <c r="R48" s="656"/>
      <c r="S48" s="668"/>
      <c r="T48" s="554"/>
      <c r="U48" s="67"/>
      <c r="V48" s="66"/>
      <c r="W48" s="67"/>
      <c r="X48" s="67"/>
      <c r="Y48" s="212"/>
    </row>
    <row r="49" spans="1:25" s="1" customFormat="1" ht="16.5" thickBot="1" x14ac:dyDescent="0.3">
      <c r="A49" s="217"/>
      <c r="B49" s="402" t="s">
        <v>199</v>
      </c>
      <c r="C49" s="403"/>
      <c r="D49" s="404"/>
      <c r="E49" s="404"/>
      <c r="F49" s="404"/>
      <c r="G49" s="43">
        <f>SUM(G50)</f>
        <v>0</v>
      </c>
      <c r="H49" s="219">
        <f t="shared" si="5"/>
        <v>0</v>
      </c>
      <c r="I49" s="98"/>
      <c r="J49" s="45"/>
      <c r="K49" s="45"/>
      <c r="L49" s="45"/>
      <c r="M49" s="148"/>
      <c r="N49" s="149"/>
      <c r="O49" s="42"/>
      <c r="P49" s="191"/>
      <c r="Q49" s="543"/>
      <c r="R49" s="254"/>
      <c r="S49" s="220"/>
      <c r="T49" s="67"/>
      <c r="U49" s="67"/>
      <c r="V49" s="66"/>
      <c r="W49" s="67"/>
      <c r="X49" s="67"/>
      <c r="Y49" s="212"/>
    </row>
    <row r="50" spans="1:25" s="1" customFormat="1" ht="16.5" thickBot="1" x14ac:dyDescent="0.3">
      <c r="A50" s="217">
        <v>31</v>
      </c>
      <c r="B50" s="221" t="s">
        <v>50</v>
      </c>
      <c r="C50" s="118"/>
      <c r="D50" s="222" t="s">
        <v>101</v>
      </c>
      <c r="E50" s="223" t="s">
        <v>39</v>
      </c>
      <c r="F50" s="129" t="s">
        <v>49</v>
      </c>
      <c r="G50" s="580">
        <v>0</v>
      </c>
      <c r="H50" s="225">
        <f t="shared" si="5"/>
        <v>0</v>
      </c>
      <c r="I50" s="531">
        <v>0</v>
      </c>
      <c r="J50" s="171"/>
      <c r="K50" s="226"/>
      <c r="L50" s="145" t="s">
        <v>95</v>
      </c>
      <c r="M50" s="579">
        <v>0</v>
      </c>
      <c r="N50" s="522" t="e">
        <f>G50/M50</f>
        <v>#DIV/0!</v>
      </c>
      <c r="O50" s="227" t="s">
        <v>96</v>
      </c>
      <c r="P50" s="228">
        <f>G50/G71</f>
        <v>0</v>
      </c>
      <c r="Q50" s="229">
        <v>0.3</v>
      </c>
      <c r="R50" s="230">
        <v>0.02</v>
      </c>
      <c r="S50" s="517" t="s">
        <v>195</v>
      </c>
      <c r="T50" s="67"/>
      <c r="U50" s="67"/>
      <c r="V50" s="66"/>
      <c r="W50" s="67"/>
      <c r="X50" s="67"/>
      <c r="Y50" s="212"/>
    </row>
    <row r="51" spans="1:25" s="54" customFormat="1" ht="16.5" thickBot="1" x14ac:dyDescent="0.25">
      <c r="A51" s="40"/>
      <c r="B51" s="402" t="s">
        <v>197</v>
      </c>
      <c r="C51" s="403"/>
      <c r="D51" s="404"/>
      <c r="E51" s="404"/>
      <c r="F51" s="404"/>
      <c r="G51" s="43">
        <f>SUM(G52:G56)</f>
        <v>64488096.700000003</v>
      </c>
      <c r="H51" s="44">
        <f t="shared" si="5"/>
        <v>8.2260140115450964E-2</v>
      </c>
      <c r="I51" s="98"/>
      <c r="J51" s="29"/>
      <c r="K51" s="45"/>
      <c r="L51" s="45"/>
      <c r="M51" s="148"/>
      <c r="N51" s="149"/>
      <c r="O51" s="41"/>
      <c r="P51" s="49"/>
      <c r="Q51" s="50"/>
      <c r="R51" s="49"/>
      <c r="S51" s="516"/>
      <c r="T51" s="53"/>
      <c r="U51" s="53"/>
      <c r="V51" s="53"/>
      <c r="W51" s="53"/>
      <c r="X51" s="53"/>
      <c r="Y51" s="53"/>
    </row>
    <row r="52" spans="1:25" s="1" customFormat="1" ht="15.75" x14ac:dyDescent="0.25">
      <c r="A52" s="8">
        <v>34</v>
      </c>
      <c r="B52" s="55" t="s">
        <v>107</v>
      </c>
      <c r="C52" s="231"/>
      <c r="D52" s="71" t="s">
        <v>108</v>
      </c>
      <c r="E52" s="140" t="s">
        <v>39</v>
      </c>
      <c r="F52" s="140" t="s">
        <v>49</v>
      </c>
      <c r="G52" s="538">
        <v>10102010.560000001</v>
      </c>
      <c r="H52" s="82">
        <f t="shared" si="5"/>
        <v>1.2885987440118778E-2</v>
      </c>
      <c r="I52" s="539">
        <v>2.3999999999999998E-3</v>
      </c>
      <c r="J52" s="211"/>
      <c r="K52" s="178"/>
      <c r="L52" s="126" t="s">
        <v>95</v>
      </c>
      <c r="M52" s="527">
        <v>221313077</v>
      </c>
      <c r="N52" s="82">
        <f t="shared" ref="N52:N56" si="7">G52/M52</f>
        <v>4.5645791459489764E-2</v>
      </c>
      <c r="O52" s="659" t="s">
        <v>96</v>
      </c>
      <c r="P52" s="662">
        <f>(SUM(G52:G56)/G71)</f>
        <v>8.2260140115450964E-2</v>
      </c>
      <c r="Q52" s="655">
        <v>0.2</v>
      </c>
      <c r="R52" s="655">
        <v>0.15</v>
      </c>
      <c r="S52" s="666" t="s">
        <v>233</v>
      </c>
      <c r="T52" s="514"/>
      <c r="U52" s="67"/>
      <c r="V52" s="66"/>
      <c r="W52" s="67"/>
      <c r="X52" s="67"/>
      <c r="Y52" s="212"/>
    </row>
    <row r="53" spans="1:25" s="1" customFormat="1" ht="19.5" thickBot="1" x14ac:dyDescent="0.3">
      <c r="A53" s="8"/>
      <c r="B53" s="69" t="s">
        <v>113</v>
      </c>
      <c r="C53" s="70" t="s">
        <v>114</v>
      </c>
      <c r="D53" s="87" t="s">
        <v>115</v>
      </c>
      <c r="E53" s="223" t="s">
        <v>39</v>
      </c>
      <c r="F53" s="223" t="s">
        <v>49</v>
      </c>
      <c r="G53" s="529">
        <v>23412838.68</v>
      </c>
      <c r="H53" s="73">
        <f t="shared" si="5"/>
        <v>2.9865098969764598E-2</v>
      </c>
      <c r="I53" s="531">
        <v>3.1899999999999998E-2</v>
      </c>
      <c r="J53" s="211"/>
      <c r="K53" s="433"/>
      <c r="L53" s="126" t="s">
        <v>95</v>
      </c>
      <c r="M53" s="533">
        <v>198821370.77000001</v>
      </c>
      <c r="N53" s="435">
        <f t="shared" si="7"/>
        <v>0.11775815944395825</v>
      </c>
      <c r="O53" s="660"/>
      <c r="P53" s="663"/>
      <c r="Q53" s="665"/>
      <c r="R53" s="665"/>
      <c r="S53" s="667"/>
      <c r="T53" s="514"/>
      <c r="U53" s="67"/>
      <c r="V53" s="66"/>
      <c r="W53" s="67"/>
      <c r="X53" s="67"/>
      <c r="Y53" s="212"/>
    </row>
    <row r="54" spans="1:25" s="1" customFormat="1" ht="15.75" x14ac:dyDescent="0.25">
      <c r="A54" s="8"/>
      <c r="B54" s="55" t="s">
        <v>75</v>
      </c>
      <c r="C54" s="231"/>
      <c r="D54" s="71" t="s">
        <v>103</v>
      </c>
      <c r="E54" s="140" t="s">
        <v>104</v>
      </c>
      <c r="F54" s="432" t="s">
        <v>105</v>
      </c>
      <c r="G54" s="538">
        <v>20948937.539999999</v>
      </c>
      <c r="H54" s="73">
        <f t="shared" si="5"/>
        <v>2.6722180146312651E-2</v>
      </c>
      <c r="I54" s="539">
        <v>1.49E-2</v>
      </c>
      <c r="J54" s="177"/>
      <c r="K54" s="178"/>
      <c r="L54" s="132" t="s">
        <v>95</v>
      </c>
      <c r="M54" s="542">
        <v>534648785.19999999</v>
      </c>
      <c r="N54" s="435">
        <f t="shared" si="7"/>
        <v>3.9182615054784938E-2</v>
      </c>
      <c r="O54" s="660"/>
      <c r="P54" s="663"/>
      <c r="Q54" s="665"/>
      <c r="R54" s="665"/>
      <c r="S54" s="667"/>
      <c r="T54" s="514"/>
      <c r="U54" s="67"/>
      <c r="V54" s="66"/>
      <c r="W54" s="67"/>
      <c r="X54" s="67"/>
      <c r="Y54" s="212"/>
    </row>
    <row r="55" spans="1:25" s="1" customFormat="1" ht="15.75" x14ac:dyDescent="0.25">
      <c r="A55" s="8"/>
      <c r="B55" s="55" t="s">
        <v>75</v>
      </c>
      <c r="C55" s="231"/>
      <c r="D55" s="71" t="s">
        <v>106</v>
      </c>
      <c r="E55" s="140" t="s">
        <v>39</v>
      </c>
      <c r="F55" s="140" t="s">
        <v>49</v>
      </c>
      <c r="G55" s="538">
        <v>2784565.2</v>
      </c>
      <c r="H55" s="550">
        <f t="shared" si="5"/>
        <v>3.5519535423443305E-3</v>
      </c>
      <c r="I55" s="551">
        <v>1.9800000000000002E-2</v>
      </c>
      <c r="J55" s="234"/>
      <c r="K55" s="235"/>
      <c r="L55" s="236" t="s">
        <v>95</v>
      </c>
      <c r="M55" s="533">
        <v>284993022</v>
      </c>
      <c r="N55" s="82">
        <f t="shared" si="7"/>
        <v>9.7706434370172061E-3</v>
      </c>
      <c r="O55" s="660"/>
      <c r="P55" s="663"/>
      <c r="Q55" s="665"/>
      <c r="R55" s="665"/>
      <c r="S55" s="667"/>
      <c r="T55" s="514"/>
      <c r="U55" s="67"/>
      <c r="V55" s="66"/>
      <c r="W55" s="67"/>
      <c r="X55" s="67"/>
      <c r="Y55" s="212"/>
    </row>
    <row r="56" spans="1:25" s="1" customFormat="1" ht="16.5" thickBot="1" x14ac:dyDescent="0.3">
      <c r="A56" s="8">
        <v>35</v>
      </c>
      <c r="B56" s="206" t="s">
        <v>50</v>
      </c>
      <c r="C56" s="118"/>
      <c r="D56" s="215" t="s">
        <v>109</v>
      </c>
      <c r="E56" s="120" t="s">
        <v>110</v>
      </c>
      <c r="F56" s="120" t="s">
        <v>111</v>
      </c>
      <c r="G56" s="525">
        <v>7239744.7199999997</v>
      </c>
      <c r="H56" s="73">
        <f t="shared" si="5"/>
        <v>9.2349200169105968E-3</v>
      </c>
      <c r="I56" s="526">
        <v>3.3999999999999998E-3</v>
      </c>
      <c r="J56" s="130"/>
      <c r="K56" s="232"/>
      <c r="L56" s="126" t="s">
        <v>112</v>
      </c>
      <c r="M56" s="527">
        <v>370078348.39999998</v>
      </c>
      <c r="N56" s="240">
        <f t="shared" si="7"/>
        <v>1.9562735164865432E-2</v>
      </c>
      <c r="O56" s="661"/>
      <c r="P56" s="664"/>
      <c r="Q56" s="656"/>
      <c r="R56" s="656"/>
      <c r="S56" s="668"/>
      <c r="T56" s="515"/>
      <c r="U56" s="67"/>
      <c r="V56" s="66"/>
      <c r="W56" s="67"/>
      <c r="X56" s="67"/>
      <c r="Y56" s="212"/>
    </row>
    <row r="57" spans="1:25" s="1" customFormat="1" ht="16.5" thickBot="1" x14ac:dyDescent="0.3">
      <c r="A57" s="8"/>
      <c r="B57" s="418" t="s">
        <v>200</v>
      </c>
      <c r="C57" s="406"/>
      <c r="D57" s="416"/>
      <c r="E57" s="410"/>
      <c r="F57" s="410"/>
      <c r="G57" s="426"/>
      <c r="H57" s="44"/>
      <c r="I57" s="44"/>
      <c r="J57" s="44"/>
      <c r="K57" s="378"/>
      <c r="L57" s="513"/>
      <c r="M57" s="507"/>
      <c r="N57" s="44"/>
      <c r="O57" s="369" t="s">
        <v>96</v>
      </c>
      <c r="P57" s="362">
        <v>0</v>
      </c>
      <c r="Q57" s="521">
        <v>0.2</v>
      </c>
      <c r="R57" s="518">
        <v>0</v>
      </c>
      <c r="S57" s="517" t="s">
        <v>198</v>
      </c>
      <c r="T57" s="67"/>
      <c r="U57" s="67"/>
      <c r="V57" s="66"/>
      <c r="W57" s="67"/>
      <c r="X57" s="67"/>
      <c r="Y57" s="212"/>
    </row>
    <row r="58" spans="1:25" s="54" customFormat="1" ht="16.5" thickBot="1" x14ac:dyDescent="0.25">
      <c r="A58" s="40"/>
      <c r="B58" s="418" t="s">
        <v>201</v>
      </c>
      <c r="C58" s="403"/>
      <c r="D58" s="404"/>
      <c r="E58" s="404"/>
      <c r="F58" s="404"/>
      <c r="G58" s="43">
        <f>G59+G60</f>
        <v>8810899.5099999998</v>
      </c>
      <c r="H58" s="44">
        <f>G58/$G$71</f>
        <v>1.1239063723767151E-2</v>
      </c>
      <c r="I58" s="244"/>
      <c r="J58" s="45"/>
      <c r="K58" s="45"/>
      <c r="L58" s="45"/>
      <c r="M58" s="148"/>
      <c r="N58" s="149"/>
      <c r="O58" s="190"/>
      <c r="P58" s="191"/>
      <c r="Q58" s="519"/>
      <c r="R58" s="520"/>
      <c r="S58" s="220"/>
      <c r="T58" s="53"/>
      <c r="U58" s="53"/>
      <c r="V58" s="53"/>
      <c r="W58" s="53"/>
      <c r="X58" s="53"/>
      <c r="Y58" s="53"/>
    </row>
    <row r="59" spans="1:25" s="1" customFormat="1" ht="16.5" thickBot="1" x14ac:dyDescent="0.3">
      <c r="A59" s="8">
        <v>39</v>
      </c>
      <c r="B59" s="245" t="s">
        <v>116</v>
      </c>
      <c r="C59" s="92" t="s">
        <v>100</v>
      </c>
      <c r="D59" s="246" t="s">
        <v>117</v>
      </c>
      <c r="E59" s="120" t="s">
        <v>38</v>
      </c>
      <c r="F59" s="120" t="s">
        <v>39</v>
      </c>
      <c r="G59" s="525">
        <v>3459822.01</v>
      </c>
      <c r="H59" s="233">
        <f>G59/$G$71</f>
        <v>4.4133019561906402E-3</v>
      </c>
      <c r="I59" s="557">
        <v>-3.2876000000000002E-2</v>
      </c>
      <c r="J59" s="171"/>
      <c r="K59" s="247"/>
      <c r="L59" s="248" t="s">
        <v>118</v>
      </c>
      <c r="M59" s="558">
        <v>1303016652.3299999</v>
      </c>
      <c r="N59" s="156">
        <f t="shared" ref="N59" si="8">G59/M59</f>
        <v>2.655240056842935E-3</v>
      </c>
      <c r="O59" s="669" t="s">
        <v>102</v>
      </c>
      <c r="P59" s="671">
        <f>SUM(G59:G60)/G71</f>
        <v>1.1239063723767151E-2</v>
      </c>
      <c r="Q59" s="673">
        <v>0.1</v>
      </c>
      <c r="R59" s="675">
        <v>0.03</v>
      </c>
      <c r="S59" s="666" t="s">
        <v>204</v>
      </c>
      <c r="T59" s="67"/>
      <c r="U59" s="67"/>
      <c r="V59" s="66"/>
      <c r="W59" s="67"/>
      <c r="X59" s="67"/>
      <c r="Y59" s="97"/>
    </row>
    <row r="60" spans="1:25" s="1" customFormat="1" ht="16.5" thickBot="1" x14ac:dyDescent="0.3">
      <c r="A60" s="8">
        <v>40</v>
      </c>
      <c r="B60" s="192" t="s">
        <v>107</v>
      </c>
      <c r="C60" s="231"/>
      <c r="D60" s="92" t="s">
        <v>119</v>
      </c>
      <c r="E60" s="140" t="s">
        <v>120</v>
      </c>
      <c r="F60" s="140" t="s">
        <v>120</v>
      </c>
      <c r="G60" s="560">
        <v>5351077.5</v>
      </c>
      <c r="H60" s="242">
        <f t="shared" ref="H60:H69" si="9">G60/$G$71</f>
        <v>6.8257617675765115E-3</v>
      </c>
      <c r="I60" s="555">
        <v>3.5999999999999999E-3</v>
      </c>
      <c r="J60" s="161"/>
      <c r="K60" s="204"/>
      <c r="L60" s="126" t="s">
        <v>95</v>
      </c>
      <c r="M60" s="570">
        <v>34771302.880000003</v>
      </c>
      <c r="N60" s="523">
        <f>G60/M60</f>
        <v>0.1538935000068079</v>
      </c>
      <c r="O60" s="670"/>
      <c r="P60" s="672"/>
      <c r="Q60" s="674"/>
      <c r="R60" s="676"/>
      <c r="S60" s="668"/>
      <c r="T60" s="67"/>
      <c r="U60" s="67"/>
      <c r="V60" s="66"/>
      <c r="W60" s="67"/>
      <c r="X60" s="67"/>
      <c r="Y60" s="97"/>
    </row>
    <row r="61" spans="1:25" s="1" customFormat="1" ht="16.5" thickBot="1" x14ac:dyDescent="0.3">
      <c r="A61" s="8"/>
      <c r="B61" s="418" t="s">
        <v>202</v>
      </c>
      <c r="C61" s="403"/>
      <c r="D61" s="404"/>
      <c r="E61" s="404"/>
      <c r="F61" s="404"/>
      <c r="G61" s="43">
        <f>SUM(G62:G64)</f>
        <v>15258775.539999999</v>
      </c>
      <c r="H61" s="44">
        <f t="shared" si="9"/>
        <v>1.9463886796811228E-2</v>
      </c>
      <c r="I61" s="98"/>
      <c r="J61" s="99"/>
      <c r="K61" s="99"/>
      <c r="L61" s="45"/>
      <c r="M61" s="100"/>
      <c r="N61" s="149"/>
      <c r="O61" s="42"/>
      <c r="P61" s="519"/>
      <c r="Q61" s="50"/>
      <c r="R61" s="151"/>
      <c r="S61" s="52"/>
      <c r="T61" s="67"/>
      <c r="U61" s="67"/>
      <c r="V61" s="66"/>
      <c r="W61" s="67"/>
      <c r="X61" s="67"/>
      <c r="Y61" s="97"/>
    </row>
    <row r="62" spans="1:25" s="1" customFormat="1" ht="15.75" x14ac:dyDescent="0.25">
      <c r="A62" s="8"/>
      <c r="B62" s="173" t="s">
        <v>123</v>
      </c>
      <c r="C62" s="261"/>
      <c r="D62" s="262" t="s">
        <v>124</v>
      </c>
      <c r="E62" s="107" t="s">
        <v>89</v>
      </c>
      <c r="F62" s="107" t="s">
        <v>89</v>
      </c>
      <c r="G62" s="537">
        <v>14029388.289999999</v>
      </c>
      <c r="H62" s="263">
        <f t="shared" si="9"/>
        <v>1.7895697121255973E-2</v>
      </c>
      <c r="I62" s="536">
        <v>7.9972000000000001E-2</v>
      </c>
      <c r="J62" s="264"/>
      <c r="K62" s="265"/>
      <c r="L62" s="261" t="s">
        <v>80</v>
      </c>
      <c r="M62" s="535">
        <v>105073395.3</v>
      </c>
      <c r="N62" s="534">
        <f>G62/M62</f>
        <v>0.13351989102421247</v>
      </c>
      <c r="O62" s="659" t="s">
        <v>125</v>
      </c>
      <c r="P62" s="662">
        <f>SUM(G62:G64)/G71</f>
        <v>1.9463886796811228E-2</v>
      </c>
      <c r="Q62" s="708">
        <v>0.05</v>
      </c>
      <c r="R62" s="655">
        <v>0.03</v>
      </c>
      <c r="S62" s="657" t="s">
        <v>205</v>
      </c>
      <c r="T62" s="67"/>
      <c r="U62" s="67"/>
      <c r="V62" s="66"/>
      <c r="W62" s="67"/>
      <c r="X62" s="67"/>
      <c r="Y62" s="97"/>
    </row>
    <row r="63" spans="1:25" s="1" customFormat="1" ht="15.75" x14ac:dyDescent="0.25">
      <c r="A63" s="8"/>
      <c r="B63" s="266" t="s">
        <v>126</v>
      </c>
      <c r="C63" s="267"/>
      <c r="D63" s="268" t="s">
        <v>127</v>
      </c>
      <c r="E63" s="209" t="s">
        <v>89</v>
      </c>
      <c r="F63" s="209" t="s">
        <v>89</v>
      </c>
      <c r="G63" s="538">
        <v>464087.98</v>
      </c>
      <c r="H63" s="82">
        <f t="shared" si="9"/>
        <v>5.9198432290988366E-4</v>
      </c>
      <c r="I63" s="530">
        <v>-1E-3</v>
      </c>
      <c r="J63" s="269"/>
      <c r="K63" s="270"/>
      <c r="L63" s="271" t="s">
        <v>80</v>
      </c>
      <c r="M63" s="547">
        <v>217525367.59999999</v>
      </c>
      <c r="N63" s="128">
        <f>G63/M63</f>
        <v>2.1334890046175929E-3</v>
      </c>
      <c r="O63" s="660"/>
      <c r="P63" s="663"/>
      <c r="Q63" s="709"/>
      <c r="R63" s="665"/>
      <c r="S63" s="677"/>
      <c r="T63" s="67"/>
      <c r="U63" s="67"/>
      <c r="V63" s="66"/>
      <c r="W63" s="67"/>
      <c r="X63" s="67"/>
      <c r="Y63" s="97"/>
    </row>
    <row r="64" spans="1:25" s="1" customFormat="1" ht="16.5" thickBot="1" x14ac:dyDescent="0.3">
      <c r="A64" s="8"/>
      <c r="B64" s="272" t="s">
        <v>128</v>
      </c>
      <c r="C64" s="261"/>
      <c r="D64" s="273" t="s">
        <v>129</v>
      </c>
      <c r="E64" s="181" t="s">
        <v>89</v>
      </c>
      <c r="F64" s="181" t="s">
        <v>89</v>
      </c>
      <c r="G64" s="560">
        <v>765299.27</v>
      </c>
      <c r="H64" s="95">
        <f t="shared" si="9"/>
        <v>9.7620535264537173E-4</v>
      </c>
      <c r="I64" s="561">
        <v>-1.3365E-2</v>
      </c>
      <c r="J64" s="274"/>
      <c r="K64" s="275"/>
      <c r="L64" s="276" t="s">
        <v>80</v>
      </c>
      <c r="M64" s="547">
        <v>176616955.02000001</v>
      </c>
      <c r="N64" s="199">
        <f>G64/M64</f>
        <v>4.3331019375423951E-3</v>
      </c>
      <c r="O64" s="661"/>
      <c r="P64" s="664"/>
      <c r="Q64" s="710"/>
      <c r="R64" s="656"/>
      <c r="S64" s="658"/>
      <c r="T64" s="67"/>
      <c r="U64" s="67"/>
      <c r="V64" s="66"/>
      <c r="W64" s="67"/>
      <c r="X64" s="67"/>
      <c r="Y64" s="97"/>
    </row>
    <row r="65" spans="1:25" s="54" customFormat="1" ht="16.5" thickBot="1" x14ac:dyDescent="0.25">
      <c r="A65" s="40"/>
      <c r="B65" s="418" t="s">
        <v>203</v>
      </c>
      <c r="C65" s="403"/>
      <c r="D65" s="404"/>
      <c r="E65" s="404"/>
      <c r="F65" s="404"/>
      <c r="G65" s="43">
        <f>SUM(G66:G67)</f>
        <v>15130430.16</v>
      </c>
      <c r="H65" s="44">
        <f t="shared" si="9"/>
        <v>1.9300171173584117E-2</v>
      </c>
      <c r="I65" s="98"/>
      <c r="J65" s="99"/>
      <c r="K65" s="45"/>
      <c r="L65" s="45"/>
      <c r="M65" s="148"/>
      <c r="N65" s="149"/>
      <c r="O65" s="42"/>
      <c r="P65" s="519"/>
      <c r="Q65" s="253"/>
      <c r="R65" s="254"/>
      <c r="S65" s="255"/>
      <c r="T65" s="53"/>
      <c r="U65" s="53"/>
      <c r="V65" s="53"/>
      <c r="W65" s="53"/>
      <c r="X65" s="53"/>
      <c r="Y65" s="53"/>
    </row>
    <row r="66" spans="1:25" s="54" customFormat="1" ht="16.5" customHeight="1" x14ac:dyDescent="0.25">
      <c r="A66" s="256">
        <v>41</v>
      </c>
      <c r="B66" s="104" t="s">
        <v>164</v>
      </c>
      <c r="C66" s="105"/>
      <c r="D66" s="153" t="s">
        <v>165</v>
      </c>
      <c r="E66" s="108" t="s">
        <v>89</v>
      </c>
      <c r="F66" s="108" t="s">
        <v>89</v>
      </c>
      <c r="G66" s="537">
        <v>5900000</v>
      </c>
      <c r="H66" s="258">
        <f t="shared" si="9"/>
        <v>7.5259598517684375E-3</v>
      </c>
      <c r="I66" s="564">
        <v>5.3600000000000002E-2</v>
      </c>
      <c r="J66" s="259"/>
      <c r="K66" s="113"/>
      <c r="L66" s="114" t="s">
        <v>71</v>
      </c>
      <c r="M66" s="155">
        <v>153397209.24000001</v>
      </c>
      <c r="N66" s="156">
        <f t="shared" ref="N66" si="10">G66/M66</f>
        <v>3.846223819345411E-2</v>
      </c>
      <c r="O66" s="698" t="s">
        <v>207</v>
      </c>
      <c r="P66" s="662">
        <f>SUM(G66:G67)/G71</f>
        <v>1.9300171173584117E-2</v>
      </c>
      <c r="Q66" s="655">
        <v>0.05</v>
      </c>
      <c r="R66" s="655">
        <v>0.03</v>
      </c>
      <c r="S66" s="657" t="s">
        <v>206</v>
      </c>
      <c r="T66" s="53"/>
      <c r="U66" s="53"/>
      <c r="V66" s="53"/>
      <c r="W66" s="53"/>
      <c r="X66" s="53"/>
      <c r="Y66" s="53"/>
    </row>
    <row r="67" spans="1:25" s="1" customFormat="1" ht="16.5" thickBot="1" x14ac:dyDescent="0.3">
      <c r="A67" s="8">
        <v>42</v>
      </c>
      <c r="B67" s="192" t="s">
        <v>121</v>
      </c>
      <c r="C67" s="118"/>
      <c r="D67" s="92" t="s">
        <v>122</v>
      </c>
      <c r="E67" s="193" t="s">
        <v>89</v>
      </c>
      <c r="F67" s="193" t="s">
        <v>89</v>
      </c>
      <c r="G67" s="560">
        <v>9230430.1600000001</v>
      </c>
      <c r="H67" s="260">
        <f t="shared" si="9"/>
        <v>1.177421132181568E-2</v>
      </c>
      <c r="I67" s="561">
        <v>4.3400000000000001E-2</v>
      </c>
      <c r="J67" s="161"/>
      <c r="K67" s="243"/>
      <c r="L67" s="184" t="s">
        <v>71</v>
      </c>
      <c r="M67" s="198">
        <v>152679755.72999999</v>
      </c>
      <c r="N67" s="524">
        <f>G67/M67</f>
        <v>6.0456149643854297E-2</v>
      </c>
      <c r="O67" s="700"/>
      <c r="P67" s="664"/>
      <c r="Q67" s="656"/>
      <c r="R67" s="656"/>
      <c r="S67" s="658"/>
      <c r="T67" s="67"/>
      <c r="U67" s="67"/>
      <c r="V67" s="66"/>
      <c r="W67" s="67"/>
      <c r="X67" s="66"/>
      <c r="Y67" s="68"/>
    </row>
    <row r="68" spans="1:25" s="1" customFormat="1" ht="12" customHeight="1" thickBot="1" x14ac:dyDescent="0.3">
      <c r="A68" s="217"/>
      <c r="B68" s="218" t="s">
        <v>130</v>
      </c>
      <c r="C68" s="41"/>
      <c r="D68" s="42"/>
      <c r="E68" s="277"/>
      <c r="F68" s="277"/>
      <c r="G68" s="278">
        <f>SUM(G69:G70)</f>
        <v>651159.82000000007</v>
      </c>
      <c r="H68" s="279">
        <f t="shared" si="9"/>
        <v>8.3061062074657E-4</v>
      </c>
      <c r="I68" s="280"/>
      <c r="J68" s="281"/>
      <c r="K68" s="281"/>
      <c r="L68" s="281"/>
      <c r="M68" s="282"/>
      <c r="N68" s="149"/>
      <c r="O68" s="283"/>
      <c r="P68" s="284">
        <f>SUM((G45+G49+G51+G58+G65)/G71)*100</f>
        <v>18.763469102559661</v>
      </c>
      <c r="Q68" s="285"/>
      <c r="R68" s="286">
        <f>SUM(P45+P68+P69+P70)/100</f>
        <v>0.97971380868864988</v>
      </c>
      <c r="S68" s="52"/>
      <c r="T68" s="261"/>
      <c r="U68" s="261"/>
      <c r="V68" s="261"/>
      <c r="W68" s="261"/>
      <c r="X68" s="261"/>
    </row>
    <row r="69" spans="1:25" s="1" customFormat="1" ht="15.75" x14ac:dyDescent="0.25">
      <c r="A69" s="217">
        <v>46</v>
      </c>
      <c r="B69" s="287" t="s">
        <v>131</v>
      </c>
      <c r="C69" s="288"/>
      <c r="D69" s="289"/>
      <c r="E69" s="290"/>
      <c r="F69" s="291"/>
      <c r="G69" s="292">
        <v>2979.3</v>
      </c>
      <c r="H69" s="233">
        <f t="shared" si="9"/>
        <v>3.80035460785995E-6</v>
      </c>
      <c r="I69" s="165">
        <v>0</v>
      </c>
      <c r="J69" s="293"/>
      <c r="K69" s="294"/>
      <c r="L69" s="295"/>
      <c r="M69" s="296"/>
      <c r="N69" s="297"/>
      <c r="O69" s="704" t="s">
        <v>132</v>
      </c>
      <c r="P69" s="706">
        <f>(G69+G70)/G71</f>
        <v>8.3061062074657E-4</v>
      </c>
      <c r="Q69" s="298"/>
      <c r="R69" s="299"/>
      <c r="S69" s="291"/>
      <c r="T69" s="261"/>
      <c r="U69" s="261"/>
      <c r="V69" s="261"/>
      <c r="W69" s="261"/>
      <c r="X69" s="261"/>
    </row>
    <row r="70" spans="1:25" s="261" customFormat="1" ht="15.75" x14ac:dyDescent="0.25">
      <c r="A70" s="8">
        <v>47</v>
      </c>
      <c r="B70" s="300" t="s">
        <v>133</v>
      </c>
      <c r="C70" s="301"/>
      <c r="D70" s="302"/>
      <c r="E70" s="303"/>
      <c r="F70" s="301"/>
      <c r="G70" s="59">
        <v>648180.52</v>
      </c>
      <c r="H70" s="304">
        <v>9.5999999999999992E-3</v>
      </c>
      <c r="I70" s="74">
        <v>0</v>
      </c>
      <c r="J70" s="305"/>
      <c r="K70" s="306"/>
      <c r="L70" s="307"/>
      <c r="M70" s="308"/>
      <c r="N70" s="309"/>
      <c r="O70" s="705"/>
      <c r="P70" s="707"/>
      <c r="Q70" s="310"/>
      <c r="R70" s="311"/>
      <c r="S70" s="303"/>
      <c r="T70" s="312"/>
      <c r="V70" s="313"/>
      <c r="Y70" s="1"/>
    </row>
    <row r="71" spans="1:25" s="261" customFormat="1" ht="16.5" thickBot="1" x14ac:dyDescent="0.3">
      <c r="A71" s="8"/>
      <c r="B71" s="314" t="s">
        <v>134</v>
      </c>
      <c r="C71" s="315"/>
      <c r="D71" s="316"/>
      <c r="E71" s="317"/>
      <c r="F71" s="317"/>
      <c r="G71" s="318">
        <f>G4+G11+G22+G24+G39+G45+G49+G51+G58+G61+G65+G68</f>
        <v>783953158.96000004</v>
      </c>
      <c r="H71" s="319">
        <f>G71/$G$71</f>
        <v>1</v>
      </c>
      <c r="I71" s="320"/>
      <c r="J71" s="321"/>
      <c r="K71" s="322"/>
      <c r="L71" s="323"/>
      <c r="M71" s="324"/>
      <c r="N71" s="325"/>
      <c r="O71" s="326"/>
      <c r="P71" s="327">
        <f>P5+P12+P20+P21+P23+P25+P35+P36+P37+P38+P40+P43+P44+P46+P50+P52+P57+P59+P62+P66+P69</f>
        <v>0.99999999999999989</v>
      </c>
      <c r="Q71" s="328"/>
      <c r="R71" s="329"/>
      <c r="S71" s="330"/>
      <c r="T71" s="312"/>
      <c r="V71" s="313"/>
      <c r="Y71" s="1"/>
    </row>
    <row r="72" spans="1:25" s="261" customFormat="1" x14ac:dyDescent="0.25">
      <c r="A72" s="1"/>
      <c r="B72" s="331" t="s">
        <v>237</v>
      </c>
      <c r="C72" s="331"/>
      <c r="D72" s="332"/>
      <c r="E72" s="332">
        <v>6.0000000000000001E-3</v>
      </c>
      <c r="F72" s="332"/>
      <c r="G72" s="331" t="s">
        <v>135</v>
      </c>
      <c r="H72" s="333">
        <v>5.1999999999999998E-3</v>
      </c>
      <c r="I72" s="334"/>
      <c r="J72" s="331" t="s">
        <v>136</v>
      </c>
      <c r="K72" s="333">
        <v>1.15E-2</v>
      </c>
      <c r="L72" s="334"/>
      <c r="M72" s="335" t="s">
        <v>137</v>
      </c>
      <c r="N72" s="333">
        <v>1.1023E-2</v>
      </c>
      <c r="O72" s="1"/>
      <c r="P72" s="333" t="s">
        <v>138</v>
      </c>
      <c r="Q72" s="1"/>
      <c r="R72" s="333"/>
      <c r="S72" s="336">
        <v>3.8399999999999997E-2</v>
      </c>
      <c r="Y72" s="1"/>
    </row>
    <row r="73" spans="1:25" s="261" customFormat="1" x14ac:dyDescent="0.25">
      <c r="A73" s="1"/>
      <c r="B73" s="331" t="s">
        <v>139</v>
      </c>
      <c r="C73" s="337"/>
      <c r="D73" s="331"/>
      <c r="E73" s="338">
        <v>9.1000000000000004E-3</v>
      </c>
      <c r="F73" s="333"/>
      <c r="G73" s="331" t="s">
        <v>140</v>
      </c>
      <c r="H73" s="333">
        <v>4.1999999999999997E-3</v>
      </c>
      <c r="I73" s="331"/>
      <c r="J73" s="331" t="s">
        <v>141</v>
      </c>
      <c r="K73" s="333">
        <v>5.4860000000000004E-3</v>
      </c>
      <c r="L73" s="333"/>
      <c r="M73" s="335" t="s">
        <v>142</v>
      </c>
      <c r="N73" s="333">
        <v>5.4099999999999999E-3</v>
      </c>
      <c r="O73" s="1"/>
      <c r="P73" s="339" t="s">
        <v>143</v>
      </c>
      <c r="Q73" s="1"/>
      <c r="R73" s="1"/>
      <c r="S73" s="336">
        <v>1.34E-2</v>
      </c>
      <c r="Y73" s="1"/>
    </row>
    <row r="74" spans="1:25" s="261" customFormat="1" x14ac:dyDescent="0.25">
      <c r="A74" s="1"/>
      <c r="B74" s="331" t="s">
        <v>144</v>
      </c>
      <c r="C74" s="1"/>
      <c r="D74" s="333"/>
      <c r="E74" s="333">
        <v>1.8E-3</v>
      </c>
      <c r="F74" s="333"/>
      <c r="G74" s="331" t="s">
        <v>145</v>
      </c>
      <c r="H74" s="333">
        <v>4.3E-3</v>
      </c>
      <c r="I74" s="331"/>
      <c r="J74" s="331" t="s">
        <v>146</v>
      </c>
      <c r="K74" s="333">
        <v>7.1640000000000002E-3</v>
      </c>
      <c r="L74" s="333"/>
      <c r="M74" s="335" t="s">
        <v>147</v>
      </c>
      <c r="N74" s="333">
        <v>1.315E-2</v>
      </c>
      <c r="O74" s="333"/>
      <c r="P74" s="339" t="s">
        <v>148</v>
      </c>
      <c r="Q74" s="1"/>
      <c r="R74" s="1"/>
      <c r="S74" s="336">
        <v>0.1426</v>
      </c>
      <c r="T74" s="340"/>
      <c r="Y74" s="1"/>
    </row>
    <row r="75" spans="1:25" s="261" customFormat="1" x14ac:dyDescent="0.25">
      <c r="A75" s="1"/>
      <c r="B75" s="331" t="s">
        <v>118</v>
      </c>
      <c r="C75" s="333"/>
      <c r="D75" s="333"/>
      <c r="E75" s="341">
        <v>4.5999999999999999E-3</v>
      </c>
      <c r="F75" s="341"/>
      <c r="G75" s="331" t="s">
        <v>149</v>
      </c>
      <c r="H75" s="333">
        <v>-3.7000000000000002E-3</v>
      </c>
      <c r="I75" s="331"/>
      <c r="J75" s="331" t="s">
        <v>150</v>
      </c>
      <c r="K75" s="333">
        <v>5.3920000000000001E-3</v>
      </c>
      <c r="L75" s="333"/>
      <c r="M75" s="335" t="s">
        <v>151</v>
      </c>
      <c r="N75" s="333">
        <v>5.2880000000000002E-3</v>
      </c>
      <c r="O75" s="333"/>
      <c r="P75" s="339" t="s">
        <v>152</v>
      </c>
      <c r="Q75" s="1"/>
      <c r="R75" s="1"/>
      <c r="S75" s="336">
        <v>7.8700000000000006E-2</v>
      </c>
      <c r="Y75" s="1"/>
    </row>
    <row r="76" spans="1:25" s="261" customFormat="1" x14ac:dyDescent="0.25">
      <c r="A76" s="1"/>
      <c r="B76" s="331" t="s">
        <v>80</v>
      </c>
      <c r="C76" s="1"/>
      <c r="D76" s="333"/>
      <c r="E76" s="341">
        <v>3.2000000000000002E-3</v>
      </c>
      <c r="F76" s="341"/>
      <c r="G76" s="331" t="s">
        <v>112</v>
      </c>
      <c r="H76" s="333">
        <v>-6.1000000000000004E-3</v>
      </c>
      <c r="I76" s="1"/>
      <c r="J76" s="331" t="s">
        <v>153</v>
      </c>
      <c r="K76" s="333">
        <v>5.5659999999999998E-3</v>
      </c>
      <c r="L76" s="1"/>
      <c r="M76" s="335" t="s">
        <v>154</v>
      </c>
      <c r="N76" s="333">
        <v>4.5820000000000001E-3</v>
      </c>
      <c r="O76" s="333"/>
      <c r="P76" s="339"/>
      <c r="Q76" s="1"/>
      <c r="R76" s="1"/>
      <c r="S76" s="342">
        <f>'[1]FFPREV Fevereiro 2018'!$G$47</f>
        <v>240168044.28999999</v>
      </c>
      <c r="T76" s="343"/>
      <c r="Y76" s="1"/>
    </row>
    <row r="77" spans="1:25" s="261" customFormat="1" x14ac:dyDescent="0.25">
      <c r="A77" s="1"/>
      <c r="B77" s="1"/>
      <c r="C77" s="1"/>
      <c r="D77" s="1"/>
      <c r="E77" s="1"/>
      <c r="F77" s="1"/>
      <c r="G77" s="331"/>
      <c r="H77" s="333" t="s">
        <v>155</v>
      </c>
      <c r="I77" s="1"/>
      <c r="J77" s="331"/>
      <c r="K77" s="333"/>
      <c r="L77" s="1"/>
      <c r="M77" s="335"/>
      <c r="N77" s="344"/>
      <c r="O77" s="333"/>
      <c r="P77" s="1"/>
      <c r="Q77" s="1"/>
      <c r="R77" s="1"/>
      <c r="S77" s="345">
        <f>G71</f>
        <v>783953158.96000004</v>
      </c>
      <c r="Y77" s="1"/>
    </row>
    <row r="78" spans="1:25" s="1" customFormat="1" x14ac:dyDescent="0.25">
      <c r="D78" t="s">
        <v>156</v>
      </c>
      <c r="G78" s="346">
        <f>S78</f>
        <v>1024121203.25</v>
      </c>
      <c r="H78" s="333"/>
      <c r="J78" s="331"/>
      <c r="K78" s="333"/>
      <c r="M78" s="347"/>
      <c r="N78" s="344"/>
      <c r="O78" s="333"/>
      <c r="S78" s="348">
        <f>S76+S77</f>
        <v>1024121203.25</v>
      </c>
      <c r="T78" s="261"/>
      <c r="U78" s="261"/>
      <c r="V78" s="261"/>
      <c r="W78" s="261"/>
      <c r="X78" s="261"/>
    </row>
    <row r="79" spans="1:25" s="7" customFormat="1" x14ac:dyDescent="0.25">
      <c r="A79"/>
      <c r="B79"/>
      <c r="C79"/>
      <c r="D79"/>
      <c r="E79"/>
      <c r="F79"/>
      <c r="G79" s="349"/>
      <c r="H79" s="350"/>
      <c r="I79"/>
      <c r="J79" s="351"/>
      <c r="K79" s="350"/>
      <c r="L79"/>
      <c r="M79" s="352"/>
      <c r="N79" s="353"/>
      <c r="O79"/>
      <c r="P79"/>
      <c r="Q79"/>
      <c r="R79"/>
      <c r="S79" s="348"/>
      <c r="Y79"/>
    </row>
    <row r="80" spans="1:25" s="7" customFormat="1" x14ac:dyDescent="0.25">
      <c r="A80"/>
      <c r="B80" s="331"/>
      <c r="C80" s="331"/>
      <c r="D80" s="331"/>
      <c r="E80" s="332"/>
      <c r="F80" s="332"/>
      <c r="G80" s="349"/>
      <c r="H80" s="353"/>
      <c r="I80"/>
      <c r="J80"/>
      <c r="K80"/>
      <c r="L80"/>
      <c r="M80" s="352"/>
      <c r="N80" s="353"/>
      <c r="O80"/>
      <c r="P80"/>
      <c r="Q80"/>
      <c r="R80"/>
      <c r="S80"/>
      <c r="Y80"/>
    </row>
    <row r="81" spans="1:25" s="7" customFormat="1" x14ac:dyDescent="0.25">
      <c r="A81"/>
      <c r="B81" s="331"/>
      <c r="C81" s="331"/>
      <c r="D81" s="331"/>
      <c r="E81" s="333"/>
      <c r="F81" s="333"/>
      <c r="G81" s="354"/>
      <c r="H81" s="353"/>
      <c r="I81"/>
      <c r="J81"/>
      <c r="K81"/>
      <c r="L81"/>
      <c r="M81" s="352"/>
      <c r="N81" s="353"/>
      <c r="O81"/>
      <c r="P81"/>
      <c r="Q81"/>
      <c r="R81"/>
      <c r="S81"/>
      <c r="Y81"/>
    </row>
    <row r="82" spans="1:25" s="7" customFormat="1" x14ac:dyDescent="0.25">
      <c r="A82"/>
      <c r="B82" s="331"/>
      <c r="C82" s="1"/>
      <c r="D82" s="333"/>
      <c r="E82" s="333"/>
      <c r="F82" s="333"/>
      <c r="G82" s="349"/>
      <c r="H82" s="353"/>
      <c r="I82"/>
      <c r="J82"/>
      <c r="K82"/>
      <c r="L82"/>
      <c r="M82" s="352"/>
      <c r="N82" s="353"/>
      <c r="O82"/>
      <c r="P82"/>
      <c r="Q82"/>
      <c r="R82"/>
      <c r="S82"/>
      <c r="Y82"/>
    </row>
    <row r="83" spans="1:25" s="7" customFormat="1" x14ac:dyDescent="0.25">
      <c r="A83"/>
      <c r="B83" s="331"/>
      <c r="C83" s="333"/>
      <c r="D83" s="333"/>
      <c r="E83" s="339"/>
      <c r="F83" s="339"/>
      <c r="G83" s="349"/>
      <c r="H83" s="353"/>
      <c r="I83"/>
      <c r="J83"/>
      <c r="K83"/>
      <c r="L83"/>
      <c r="M83" s="352" t="s">
        <v>157</v>
      </c>
      <c r="N83" s="353"/>
      <c r="O83"/>
      <c r="P83"/>
      <c r="Q83"/>
      <c r="R83"/>
      <c r="S83"/>
      <c r="Y83"/>
    </row>
    <row r="84" spans="1:25" s="7" customFormat="1" x14ac:dyDescent="0.25">
      <c r="A84"/>
      <c r="B84" s="331" t="s">
        <v>60</v>
      </c>
      <c r="C84" s="1"/>
      <c r="D84" s="333" t="s">
        <v>158</v>
      </c>
      <c r="E84" s="355">
        <v>6.3E-3</v>
      </c>
      <c r="F84" s="1"/>
      <c r="G84" s="349">
        <f>G4+G11+G20+G21+G22+G23+G24+G35+G36+G37+G38+G39+G43+G44</f>
        <v>620946414.84000003</v>
      </c>
      <c r="H84" s="353">
        <f>G84/G87</f>
        <v>0.79207081155684556</v>
      </c>
      <c r="I84"/>
      <c r="J84" t="s">
        <v>60</v>
      </c>
      <c r="K84"/>
      <c r="L84"/>
      <c r="M84" s="356">
        <f>'[3]Consolidado fevereiro 2018'!$G$112</f>
        <v>838658112.35000002</v>
      </c>
      <c r="N84" s="353">
        <f>M84/M87</f>
        <v>0.81890513514275298</v>
      </c>
      <c r="O84"/>
      <c r="P84"/>
      <c r="Q84"/>
      <c r="R84"/>
      <c r="S84"/>
      <c r="Y84"/>
    </row>
    <row r="85" spans="1:25" s="7" customFormat="1" x14ac:dyDescent="0.25">
      <c r="A85"/>
      <c r="B85" t="s">
        <v>96</v>
      </c>
      <c r="C85"/>
      <c r="D85" s="333" t="s">
        <v>158</v>
      </c>
      <c r="E85" s="355">
        <v>2.01E-2</v>
      </c>
      <c r="F85"/>
      <c r="G85" s="349">
        <f>G45+G49+G51+G57+G58+G61+G65</f>
        <v>162355584.30000001</v>
      </c>
      <c r="H85" s="353">
        <f>G85/G87</f>
        <v>0.20709857782240779</v>
      </c>
      <c r="I85"/>
      <c r="J85" t="s">
        <v>96</v>
      </c>
      <c r="K85"/>
      <c r="L85"/>
      <c r="M85" s="356">
        <f>'[3]Consolidado fevereiro 2018'!$G$105</f>
        <v>184803995.55999997</v>
      </c>
      <c r="N85" s="353">
        <f>M85/M87</f>
        <v>0.18045129323905537</v>
      </c>
      <c r="O85"/>
      <c r="P85"/>
      <c r="Q85"/>
      <c r="R85"/>
      <c r="S85"/>
      <c r="Y85"/>
    </row>
    <row r="86" spans="1:25" s="7" customFormat="1" x14ac:dyDescent="0.25">
      <c r="A86"/>
      <c r="B86" t="s">
        <v>159</v>
      </c>
      <c r="C86"/>
      <c r="D86"/>
      <c r="E86" s="357"/>
      <c r="F86"/>
      <c r="G86" s="349">
        <f>G68</f>
        <v>651159.82000000007</v>
      </c>
      <c r="H86" s="353">
        <f>G86/G87</f>
        <v>8.3061062074656989E-4</v>
      </c>
      <c r="I86"/>
      <c r="J86" t="s">
        <v>160</v>
      </c>
      <c r="K86"/>
      <c r="L86"/>
      <c r="M86" s="356">
        <f>'[3]Consolidado fevereiro 2018'!$M$106</f>
        <v>659095.34000000008</v>
      </c>
      <c r="N86" s="353">
        <f>M86/M87</f>
        <v>6.4357161819166746E-4</v>
      </c>
      <c r="O86"/>
      <c r="P86"/>
      <c r="Q86"/>
      <c r="R86"/>
      <c r="S86"/>
      <c r="Y86"/>
    </row>
    <row r="87" spans="1:25" s="7" customFormat="1" x14ac:dyDescent="0.25">
      <c r="A87"/>
      <c r="B87"/>
      <c r="C87"/>
      <c r="D87"/>
      <c r="E87" s="355">
        <v>9.1000000000000004E-3</v>
      </c>
      <c r="F87"/>
      <c r="G87" s="349">
        <f>G84+G85+G86</f>
        <v>783953158.96000016</v>
      </c>
      <c r="H87" s="353">
        <f>SUM(H84:H86)</f>
        <v>0.99999999999999989</v>
      </c>
      <c r="I87"/>
      <c r="J87" s="7" t="s">
        <v>161</v>
      </c>
      <c r="M87" s="356">
        <f>M84+M85+M86</f>
        <v>1024121203.25</v>
      </c>
      <c r="N87" s="353">
        <f>N84+N85+N86</f>
        <v>1</v>
      </c>
      <c r="O87"/>
      <c r="P87"/>
      <c r="Q87"/>
      <c r="R87"/>
      <c r="S87"/>
      <c r="Y87"/>
    </row>
    <row r="88" spans="1:25" s="7" customFormat="1" x14ac:dyDescent="0.25">
      <c r="A88"/>
      <c r="B88"/>
      <c r="C88"/>
      <c r="D88"/>
      <c r="E88" s="358"/>
      <c r="F88"/>
      <c r="G88" s="1"/>
      <c r="H88" s="353"/>
      <c r="I88"/>
      <c r="J88"/>
      <c r="K88"/>
      <c r="L88"/>
      <c r="M88" s="352"/>
      <c r="N88" s="353"/>
      <c r="O88"/>
      <c r="P88"/>
      <c r="Q88"/>
      <c r="R88"/>
      <c r="S88"/>
      <c r="Y88"/>
    </row>
    <row r="89" spans="1:25" s="7" customFormat="1" x14ac:dyDescent="0.25">
      <c r="A89"/>
      <c r="B89"/>
      <c r="C89"/>
      <c r="D89"/>
      <c r="E89"/>
      <c r="F89"/>
      <c r="G89" s="1"/>
      <c r="H89" s="353"/>
      <c r="I89"/>
      <c r="J89"/>
      <c r="K89"/>
      <c r="L89"/>
      <c r="M89" s="352"/>
      <c r="N89" s="353"/>
      <c r="O89"/>
      <c r="P89"/>
      <c r="Q89"/>
      <c r="R89"/>
      <c r="S89"/>
      <c r="Y89"/>
    </row>
    <row r="90" spans="1:25" s="7" customFormat="1" x14ac:dyDescent="0.25">
      <c r="A90"/>
      <c r="B90"/>
      <c r="C90"/>
      <c r="D90"/>
      <c r="E90"/>
      <c r="F90"/>
      <c r="G90" s="1"/>
      <c r="H90" s="353"/>
      <c r="I90"/>
      <c r="J90"/>
      <c r="K90"/>
      <c r="L90"/>
      <c r="M90" s="352"/>
      <c r="N90" s="353"/>
      <c r="O90"/>
      <c r="P90"/>
      <c r="Q90"/>
      <c r="R90"/>
      <c r="S90"/>
      <c r="Y90"/>
    </row>
  </sheetData>
  <mergeCells count="48">
    <mergeCell ref="S5:S10"/>
    <mergeCell ref="P3:R3"/>
    <mergeCell ref="O5:O10"/>
    <mergeCell ref="P5:P10"/>
    <mergeCell ref="Q5:Q10"/>
    <mergeCell ref="R5:R10"/>
    <mergeCell ref="O25:O34"/>
    <mergeCell ref="P25:P34"/>
    <mergeCell ref="Q25:Q34"/>
    <mergeCell ref="R25:R34"/>
    <mergeCell ref="S25:S34"/>
    <mergeCell ref="O12:O19"/>
    <mergeCell ref="P12:P19"/>
    <mergeCell ref="Q12:Q19"/>
    <mergeCell ref="R12:R19"/>
    <mergeCell ref="S12:S19"/>
    <mergeCell ref="O46:O48"/>
    <mergeCell ref="P46:P48"/>
    <mergeCell ref="Q46:Q48"/>
    <mergeCell ref="R46:R48"/>
    <mergeCell ref="S46:S48"/>
    <mergeCell ref="O40:O42"/>
    <mergeCell ref="P40:P42"/>
    <mergeCell ref="Q40:Q42"/>
    <mergeCell ref="R40:R42"/>
    <mergeCell ref="S40:S42"/>
    <mergeCell ref="O59:O60"/>
    <mergeCell ref="P59:P60"/>
    <mergeCell ref="Q59:Q60"/>
    <mergeCell ref="R59:R60"/>
    <mergeCell ref="S59:S60"/>
    <mergeCell ref="O52:O56"/>
    <mergeCell ref="P52:P56"/>
    <mergeCell ref="Q52:Q56"/>
    <mergeCell ref="R52:R56"/>
    <mergeCell ref="S52:S56"/>
    <mergeCell ref="R62:R64"/>
    <mergeCell ref="S62:S64"/>
    <mergeCell ref="O66:O67"/>
    <mergeCell ref="P66:P67"/>
    <mergeCell ref="Q66:Q67"/>
    <mergeCell ref="R66:R67"/>
    <mergeCell ref="S66:S67"/>
    <mergeCell ref="O69:O70"/>
    <mergeCell ref="P69:P70"/>
    <mergeCell ref="O62:O64"/>
    <mergeCell ref="P62:P64"/>
    <mergeCell ref="Q62:Q64"/>
  </mergeCells>
  <printOptions horizontalCentered="1"/>
  <pageMargins left="0" right="0" top="0" bottom="0" header="0.19685039370078741" footer="0.39370078740157483"/>
  <pageSetup paperSize="9" scale="4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9"/>
  <sheetViews>
    <sheetView topLeftCell="A26" zoomScaleNormal="100" workbookViewId="0">
      <selection activeCell="H72" sqref="H72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3.42578125" style="1" bestFit="1" customWidth="1"/>
    <col min="8" max="8" width="11.5703125" style="353" customWidth="1"/>
    <col min="9" max="9" width="10.85546875" style="1" customWidth="1"/>
    <col min="10" max="10" width="7.5703125" customWidth="1"/>
    <col min="11" max="11" width="7.7109375" customWidth="1"/>
    <col min="12" max="12" width="9.140625" customWidth="1"/>
    <col min="13" max="13" width="14" style="347" bestFit="1" customWidth="1"/>
    <col min="14" max="14" width="8.140625" style="353" bestFit="1" customWidth="1"/>
    <col min="15" max="15" width="13.5703125" customWidth="1"/>
    <col min="16" max="16" width="6.85546875" customWidth="1"/>
    <col min="17" max="17" width="5.5703125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238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685" t="s">
        <v>18</v>
      </c>
      <c r="Q3" s="686"/>
      <c r="R3" s="687"/>
      <c r="S3" s="38" t="s">
        <v>19</v>
      </c>
      <c r="T3" s="39"/>
      <c r="U3" s="39"/>
      <c r="V3" s="39"/>
      <c r="W3" s="39"/>
      <c r="X3" s="39"/>
      <c r="Y3" s="39"/>
    </row>
    <row r="4" spans="1:25" s="54" customFormat="1" ht="12" customHeight="1" thickBot="1" x14ac:dyDescent="0.25">
      <c r="A4" s="40"/>
      <c r="B4" s="402" t="s">
        <v>166</v>
      </c>
      <c r="C4" s="403"/>
      <c r="D4" s="404"/>
      <c r="E4" s="404"/>
      <c r="F4" s="404"/>
      <c r="G4" s="43">
        <f>SUM(G5:G10)</f>
        <v>125640947.39000002</v>
      </c>
      <c r="H4" s="44">
        <f t="shared" ref="H4:H19" si="0">G4/$G$70</f>
        <v>0.16066298126291051</v>
      </c>
      <c r="I4" s="45"/>
      <c r="J4" s="45"/>
      <c r="K4" s="45"/>
      <c r="L4" s="45"/>
      <c r="M4" s="46"/>
      <c r="N4" s="47"/>
      <c r="O4" s="48"/>
      <c r="P4" s="49"/>
      <c r="Q4" s="50"/>
      <c r="R4" s="584"/>
      <c r="S4" s="52"/>
      <c r="T4" s="53"/>
      <c r="U4" s="53"/>
      <c r="V4" s="53"/>
      <c r="W4" s="53"/>
      <c r="X4" s="53"/>
      <c r="Y4" s="53"/>
    </row>
    <row r="5" spans="1:25" s="1" customFormat="1" ht="16.5" customHeight="1" x14ac:dyDescent="0.25">
      <c r="A5" s="8">
        <v>1</v>
      </c>
      <c r="B5" s="55" t="s">
        <v>21</v>
      </c>
      <c r="C5" s="56" t="s">
        <v>22</v>
      </c>
      <c r="D5" s="57" t="s">
        <v>23</v>
      </c>
      <c r="E5" s="58"/>
      <c r="F5" s="58"/>
      <c r="G5" s="538">
        <v>26106284.57</v>
      </c>
      <c r="H5" s="60">
        <f t="shared" si="0"/>
        <v>3.3383332391585842E-2</v>
      </c>
      <c r="I5" s="562">
        <v>1.0200000000000001E-2</v>
      </c>
      <c r="J5" s="62" t="s">
        <v>24</v>
      </c>
      <c r="K5" s="62"/>
      <c r="L5" s="63"/>
      <c r="M5" s="64">
        <v>0</v>
      </c>
      <c r="N5" s="65"/>
      <c r="O5" s="688" t="s">
        <v>20</v>
      </c>
      <c r="P5" s="691">
        <f>SUM(G5:G10)/G70</f>
        <v>0.16066298126291051</v>
      </c>
      <c r="Q5" s="694">
        <v>1</v>
      </c>
      <c r="R5" s="675">
        <v>0.4</v>
      </c>
      <c r="S5" s="682" t="s">
        <v>175</v>
      </c>
      <c r="T5" s="66"/>
      <c r="U5" s="67"/>
      <c r="V5" s="66"/>
      <c r="W5" s="66"/>
      <c r="X5" s="66"/>
      <c r="Y5" s="68"/>
    </row>
    <row r="6" spans="1:25" s="1" customFormat="1" ht="16.5" thickBot="1" x14ac:dyDescent="0.3">
      <c r="A6" s="8">
        <v>2</v>
      </c>
      <c r="B6" s="69" t="s">
        <v>21</v>
      </c>
      <c r="C6" s="70" t="s">
        <v>22</v>
      </c>
      <c r="D6" s="71" t="s">
        <v>25</v>
      </c>
      <c r="E6" s="71"/>
      <c r="F6" s="72"/>
      <c r="G6" s="538">
        <v>11572067.93</v>
      </c>
      <c r="H6" s="73">
        <f t="shared" si="0"/>
        <v>1.4797746846333434E-2</v>
      </c>
      <c r="I6" s="531">
        <v>1.9400000000000001E-2</v>
      </c>
      <c r="J6" s="75" t="s">
        <v>26</v>
      </c>
      <c r="K6" s="76"/>
      <c r="L6" s="77"/>
      <c r="M6" s="78"/>
      <c r="N6" s="79"/>
      <c r="O6" s="689"/>
      <c r="P6" s="692"/>
      <c r="Q6" s="695"/>
      <c r="R6" s="697"/>
      <c r="S6" s="683"/>
      <c r="T6" s="66"/>
      <c r="U6" s="67"/>
      <c r="V6" s="66"/>
      <c r="W6" s="66"/>
      <c r="X6" s="66"/>
      <c r="Y6" s="68"/>
    </row>
    <row r="7" spans="1:25" s="1" customFormat="1" ht="15.75" x14ac:dyDescent="0.25">
      <c r="A7" s="8">
        <v>3</v>
      </c>
      <c r="B7" s="55" t="s">
        <v>21</v>
      </c>
      <c r="C7" s="56" t="s">
        <v>22</v>
      </c>
      <c r="D7" s="57" t="s">
        <v>27</v>
      </c>
      <c r="E7" s="80"/>
      <c r="F7" s="71"/>
      <c r="G7" s="588">
        <v>25649699.5</v>
      </c>
      <c r="H7" s="82">
        <f t="shared" si="0"/>
        <v>3.2799475615031694E-2</v>
      </c>
      <c r="I7" s="531">
        <v>2.0199999999999999E-2</v>
      </c>
      <c r="J7" s="62" t="s">
        <v>28</v>
      </c>
      <c r="K7" s="83"/>
      <c r="L7" s="84">
        <v>1.0329999999999999</v>
      </c>
      <c r="M7" s="85"/>
      <c r="N7" s="86"/>
      <c r="O7" s="689"/>
      <c r="P7" s="692"/>
      <c r="Q7" s="695"/>
      <c r="R7" s="697"/>
      <c r="S7" s="683"/>
      <c r="T7" s="66"/>
      <c r="U7" s="67"/>
      <c r="V7" s="66"/>
      <c r="W7" s="66"/>
      <c r="X7" s="66"/>
      <c r="Y7" s="68"/>
    </row>
    <row r="8" spans="1:25" s="1" customFormat="1" ht="16.5" thickBot="1" x14ac:dyDescent="0.3">
      <c r="A8" s="8">
        <v>4</v>
      </c>
      <c r="B8" s="55" t="s">
        <v>21</v>
      </c>
      <c r="C8" s="70" t="s">
        <v>22</v>
      </c>
      <c r="D8" s="87" t="s">
        <v>29</v>
      </c>
      <c r="E8" s="87"/>
      <c r="F8" s="71"/>
      <c r="G8" s="589">
        <v>29507499.210000001</v>
      </c>
      <c r="H8" s="73">
        <f t="shared" si="0"/>
        <v>3.7732625319800026E-2</v>
      </c>
      <c r="I8" s="531">
        <v>5.1000000000000004E-3</v>
      </c>
      <c r="J8" s="89" t="s">
        <v>30</v>
      </c>
      <c r="K8" s="83"/>
      <c r="L8" s="90"/>
      <c r="M8" s="78"/>
      <c r="N8" s="79"/>
      <c r="O8" s="689"/>
      <c r="P8" s="692"/>
      <c r="Q8" s="695"/>
      <c r="R8" s="697"/>
      <c r="S8" s="683"/>
      <c r="T8" s="66"/>
      <c r="U8" s="67"/>
      <c r="V8" s="66"/>
      <c r="W8" s="66"/>
      <c r="X8" s="66"/>
      <c r="Y8" s="68"/>
    </row>
    <row r="9" spans="1:25" s="1" customFormat="1" ht="15.75" x14ac:dyDescent="0.25">
      <c r="A9" s="8">
        <v>5</v>
      </c>
      <c r="B9" s="69" t="s">
        <v>21</v>
      </c>
      <c r="C9" s="419" t="s">
        <v>22</v>
      </c>
      <c r="D9" s="87" t="s">
        <v>31</v>
      </c>
      <c r="E9" s="87"/>
      <c r="F9" s="80"/>
      <c r="G9" s="588">
        <v>11976573.210000001</v>
      </c>
      <c r="H9" s="73">
        <f t="shared" si="0"/>
        <v>1.5315006749027874E-2</v>
      </c>
      <c r="I9" s="526">
        <v>5.1000000000000004E-3</v>
      </c>
      <c r="J9" s="420" t="s">
        <v>32</v>
      </c>
      <c r="K9" s="421"/>
      <c r="L9" s="422"/>
      <c r="M9" s="78"/>
      <c r="N9" s="91"/>
      <c r="O9" s="689"/>
      <c r="P9" s="692"/>
      <c r="Q9" s="695"/>
      <c r="R9" s="697"/>
      <c r="S9" s="683"/>
      <c r="T9" s="66"/>
      <c r="U9" s="67"/>
      <c r="V9" s="66"/>
      <c r="W9" s="66"/>
      <c r="X9" s="66"/>
      <c r="Y9" s="68"/>
    </row>
    <row r="10" spans="1:25" s="1" customFormat="1" ht="16.5" thickBot="1" x14ac:dyDescent="0.3">
      <c r="A10" s="8">
        <v>6</v>
      </c>
      <c r="B10" s="55" t="s">
        <v>21</v>
      </c>
      <c r="C10" s="157" t="s">
        <v>22</v>
      </c>
      <c r="D10" s="71" t="s">
        <v>33</v>
      </c>
      <c r="E10" s="71"/>
      <c r="F10" s="71"/>
      <c r="G10" s="538">
        <v>20828822.969999999</v>
      </c>
      <c r="H10" s="73">
        <f t="shared" si="0"/>
        <v>2.6634794341131637E-2</v>
      </c>
      <c r="I10" s="531">
        <v>5.1000000000000004E-3</v>
      </c>
      <c r="J10" s="75" t="s">
        <v>34</v>
      </c>
      <c r="K10" s="421"/>
      <c r="L10" s="83"/>
      <c r="M10" s="85"/>
      <c r="N10" s="79"/>
      <c r="O10" s="690"/>
      <c r="P10" s="693"/>
      <c r="Q10" s="696"/>
      <c r="R10" s="676"/>
      <c r="S10" s="684"/>
      <c r="T10" s="67"/>
      <c r="U10" s="67"/>
      <c r="V10" s="66"/>
      <c r="W10" s="67"/>
      <c r="X10" s="67"/>
      <c r="Y10" s="97"/>
    </row>
    <row r="11" spans="1:25" s="54" customFormat="1" ht="16.5" thickBot="1" x14ac:dyDescent="0.25">
      <c r="A11" s="40"/>
      <c r="B11" s="402" t="s">
        <v>167</v>
      </c>
      <c r="C11" s="403"/>
      <c r="D11" s="404"/>
      <c r="E11" s="404"/>
      <c r="F11" s="404"/>
      <c r="G11" s="43">
        <f>SUM(G12:G19)</f>
        <v>292459625.5</v>
      </c>
      <c r="H11" s="44">
        <f t="shared" si="0"/>
        <v>0.37398186107281883</v>
      </c>
      <c r="I11" s="98"/>
      <c r="J11" s="99"/>
      <c r="K11" s="45"/>
      <c r="L11" s="45"/>
      <c r="M11" s="148"/>
      <c r="N11" s="423"/>
      <c r="O11" s="48"/>
      <c r="P11" s="424"/>
      <c r="Q11" s="585"/>
      <c r="R11" s="103"/>
      <c r="S11" s="425"/>
      <c r="T11" s="53"/>
      <c r="U11" s="53"/>
      <c r="V11" s="53"/>
      <c r="W11" s="53"/>
      <c r="X11" s="53"/>
      <c r="Y11" s="53"/>
    </row>
    <row r="12" spans="1:25" s="1" customFormat="1" ht="15.75" customHeight="1" x14ac:dyDescent="0.25">
      <c r="A12" s="8">
        <v>7</v>
      </c>
      <c r="B12" s="104" t="s">
        <v>35</v>
      </c>
      <c r="C12" s="105" t="s">
        <v>36</v>
      </c>
      <c r="D12" s="106" t="s">
        <v>37</v>
      </c>
      <c r="E12" s="107" t="s">
        <v>38</v>
      </c>
      <c r="F12" s="108" t="s">
        <v>39</v>
      </c>
      <c r="G12" s="563">
        <v>53604310.280000001</v>
      </c>
      <c r="H12" s="110">
        <f t="shared" si="0"/>
        <v>6.8546349554288261E-2</v>
      </c>
      <c r="I12" s="564">
        <v>1.6E-2</v>
      </c>
      <c r="J12" s="112"/>
      <c r="K12" s="113"/>
      <c r="L12" s="114" t="s">
        <v>40</v>
      </c>
      <c r="M12" s="535">
        <v>1290858853.55</v>
      </c>
      <c r="N12" s="116">
        <f t="shared" ref="N12:N19" si="1">G12/M12</f>
        <v>4.1526081749822925E-2</v>
      </c>
      <c r="O12" s="659" t="s">
        <v>41</v>
      </c>
      <c r="P12" s="662">
        <f>(SUM(G12:G19)/G70)</f>
        <v>0.37398186107281883</v>
      </c>
      <c r="Q12" s="655">
        <v>1</v>
      </c>
      <c r="R12" s="655">
        <v>0.5</v>
      </c>
      <c r="S12" s="657" t="s">
        <v>174</v>
      </c>
      <c r="T12" s="67"/>
      <c r="U12" s="67"/>
      <c r="V12" s="66"/>
      <c r="W12" s="67"/>
      <c r="X12" s="67"/>
      <c r="Y12" s="97"/>
    </row>
    <row r="13" spans="1:25" s="1" customFormat="1" ht="15.75" customHeight="1" thickBot="1" x14ac:dyDescent="0.3">
      <c r="A13" s="8">
        <v>8</v>
      </c>
      <c r="B13" s="117" t="s">
        <v>42</v>
      </c>
      <c r="C13" s="118" t="s">
        <v>43</v>
      </c>
      <c r="D13" s="57" t="s">
        <v>44</v>
      </c>
      <c r="E13" s="119" t="s">
        <v>38</v>
      </c>
      <c r="F13" s="120" t="s">
        <v>39</v>
      </c>
      <c r="G13" s="528">
        <v>29949248.640000001</v>
      </c>
      <c r="H13" s="122">
        <f t="shared" si="0"/>
        <v>3.8297511066599475E-2</v>
      </c>
      <c r="I13" s="539">
        <v>1.3011E-2</v>
      </c>
      <c r="J13" s="124"/>
      <c r="K13" s="125"/>
      <c r="L13" s="126" t="s">
        <v>45</v>
      </c>
      <c r="M13" s="547">
        <v>5461875715.0200005</v>
      </c>
      <c r="N13" s="128">
        <f t="shared" si="1"/>
        <v>5.4833266450279037E-3</v>
      </c>
      <c r="O13" s="660"/>
      <c r="P13" s="663"/>
      <c r="Q13" s="665"/>
      <c r="R13" s="665"/>
      <c r="S13" s="677"/>
      <c r="T13" s="67"/>
      <c r="U13" s="67"/>
      <c r="V13" s="66"/>
      <c r="W13" s="67"/>
      <c r="X13" s="67"/>
      <c r="Y13" s="97"/>
    </row>
    <row r="14" spans="1:25" s="1" customFormat="1" ht="15.75" customHeight="1" thickBot="1" x14ac:dyDescent="0.3">
      <c r="A14" s="8"/>
      <c r="B14" s="117" t="s">
        <v>42</v>
      </c>
      <c r="C14" s="118" t="s">
        <v>43</v>
      </c>
      <c r="D14" s="57" t="s">
        <v>61</v>
      </c>
      <c r="E14" s="119" t="s">
        <v>38</v>
      </c>
      <c r="F14" s="119" t="s">
        <v>39</v>
      </c>
      <c r="G14" s="528">
        <v>21037571.620000001</v>
      </c>
      <c r="H14" s="122">
        <f t="shared" si="0"/>
        <v>2.6901731045608265E-2</v>
      </c>
      <c r="I14" s="539">
        <v>1.6022999999999999E-2</v>
      </c>
      <c r="J14" s="124"/>
      <c r="K14" s="125"/>
      <c r="L14" s="145" t="s">
        <v>53</v>
      </c>
      <c r="M14" s="547">
        <v>2226807779.79</v>
      </c>
      <c r="N14" s="128">
        <f>G14/M14</f>
        <v>9.4474124847830181E-3</v>
      </c>
      <c r="O14" s="660"/>
      <c r="P14" s="663"/>
      <c r="Q14" s="665"/>
      <c r="R14" s="665"/>
      <c r="S14" s="677"/>
      <c r="T14" s="67"/>
      <c r="U14" s="67"/>
      <c r="V14" s="66"/>
      <c r="W14" s="67"/>
      <c r="X14" s="67"/>
      <c r="Y14" s="97"/>
    </row>
    <row r="15" spans="1:25" s="1" customFormat="1" ht="15.75" customHeight="1" x14ac:dyDescent="0.25">
      <c r="A15" s="8">
        <v>9</v>
      </c>
      <c r="B15" s="117" t="s">
        <v>46</v>
      </c>
      <c r="C15" s="105" t="s">
        <v>36</v>
      </c>
      <c r="D15" s="71" t="s">
        <v>47</v>
      </c>
      <c r="E15" s="129" t="s">
        <v>48</v>
      </c>
      <c r="F15" s="129" t="s">
        <v>49</v>
      </c>
      <c r="G15" s="538">
        <v>12730088.609999999</v>
      </c>
      <c r="H15" s="122">
        <f t="shared" si="0"/>
        <v>1.6278562286505059E-2</v>
      </c>
      <c r="I15" s="562">
        <v>1.0500000000000001E-2</v>
      </c>
      <c r="J15" s="131"/>
      <c r="K15" s="125"/>
      <c r="L15" s="132" t="s">
        <v>40</v>
      </c>
      <c r="M15" s="547">
        <v>309883029.23000002</v>
      </c>
      <c r="N15" s="133">
        <f t="shared" si="1"/>
        <v>4.1080302595569149E-2</v>
      </c>
      <c r="O15" s="660"/>
      <c r="P15" s="663"/>
      <c r="Q15" s="665"/>
      <c r="R15" s="665"/>
      <c r="S15" s="677"/>
      <c r="T15" s="67"/>
      <c r="U15" s="67"/>
      <c r="V15" s="66"/>
      <c r="W15" s="67"/>
      <c r="X15" s="67"/>
      <c r="Y15" s="97"/>
    </row>
    <row r="16" spans="1:25" s="1" customFormat="1" ht="16.5" thickBot="1" x14ac:dyDescent="0.3">
      <c r="A16" s="8">
        <v>10</v>
      </c>
      <c r="B16" s="134" t="s">
        <v>50</v>
      </c>
      <c r="C16" s="93" t="s">
        <v>51</v>
      </c>
      <c r="D16" s="71" t="s">
        <v>52</v>
      </c>
      <c r="E16" s="120" t="s">
        <v>38</v>
      </c>
      <c r="F16" s="120" t="s">
        <v>38</v>
      </c>
      <c r="G16" s="568">
        <v>53417798.140000001</v>
      </c>
      <c r="H16" s="122">
        <f t="shared" si="0"/>
        <v>6.8307847719682457E-2</v>
      </c>
      <c r="I16" s="531">
        <v>1.5996E-2</v>
      </c>
      <c r="J16" s="136"/>
      <c r="K16" s="137"/>
      <c r="L16" s="138" t="s">
        <v>53</v>
      </c>
      <c r="M16" s="548">
        <v>7642122550.6899996</v>
      </c>
      <c r="N16" s="133">
        <f t="shared" si="1"/>
        <v>6.9899164513106326E-3</v>
      </c>
      <c r="O16" s="660"/>
      <c r="P16" s="663"/>
      <c r="Q16" s="665"/>
      <c r="R16" s="665"/>
      <c r="S16" s="677"/>
      <c r="T16" s="67"/>
      <c r="U16" s="67"/>
      <c r="V16" s="66"/>
      <c r="W16" s="67"/>
      <c r="X16" s="67"/>
      <c r="Y16" s="97"/>
    </row>
    <row r="17" spans="1:25" s="1" customFormat="1" ht="16.5" thickBot="1" x14ac:dyDescent="0.3">
      <c r="A17" s="8">
        <v>11</v>
      </c>
      <c r="B17" s="134" t="s">
        <v>50</v>
      </c>
      <c r="C17" s="93" t="s">
        <v>51</v>
      </c>
      <c r="D17" s="71" t="s">
        <v>54</v>
      </c>
      <c r="E17" s="120" t="s">
        <v>38</v>
      </c>
      <c r="F17" s="120" t="s">
        <v>38</v>
      </c>
      <c r="G17" s="568">
        <v>107532737.43000001</v>
      </c>
      <c r="H17" s="122">
        <f t="shared" si="0"/>
        <v>0.13750716257525322</v>
      </c>
      <c r="I17" s="531">
        <v>1.2980999999999999E-2</v>
      </c>
      <c r="J17" s="136"/>
      <c r="K17" s="137"/>
      <c r="L17" s="138" t="s">
        <v>53</v>
      </c>
      <c r="M17" s="548">
        <v>3396431132.1100001</v>
      </c>
      <c r="N17" s="133">
        <f t="shared" si="1"/>
        <v>3.1660508706736631E-2</v>
      </c>
      <c r="O17" s="660"/>
      <c r="P17" s="663"/>
      <c r="Q17" s="665"/>
      <c r="R17" s="665"/>
      <c r="S17" s="677"/>
      <c r="T17" s="67"/>
      <c r="U17" s="67"/>
      <c r="V17" s="66"/>
      <c r="W17" s="67"/>
      <c r="X17" s="67"/>
      <c r="Y17" s="97"/>
    </row>
    <row r="18" spans="1:25" s="1" customFormat="1" ht="15.75" x14ac:dyDescent="0.25">
      <c r="A18" s="8">
        <v>12</v>
      </c>
      <c r="B18" s="55" t="s">
        <v>55</v>
      </c>
      <c r="C18" s="105" t="s">
        <v>36</v>
      </c>
      <c r="D18" s="71" t="s">
        <v>56</v>
      </c>
      <c r="E18" s="140" t="s">
        <v>38</v>
      </c>
      <c r="F18" s="140" t="s">
        <v>39</v>
      </c>
      <c r="G18" s="565">
        <v>7017777.9400000004</v>
      </c>
      <c r="H18" s="122">
        <f t="shared" si="0"/>
        <v>8.9739623037196729E-3</v>
      </c>
      <c r="I18" s="531">
        <v>1.5800000000000002E-2</v>
      </c>
      <c r="J18" s="143"/>
      <c r="K18" s="144"/>
      <c r="L18" s="145" t="s">
        <v>53</v>
      </c>
      <c r="M18" s="569">
        <v>1787620948.28</v>
      </c>
      <c r="N18" s="146">
        <f t="shared" si="1"/>
        <v>3.925763986348624E-3</v>
      </c>
      <c r="O18" s="660"/>
      <c r="P18" s="663"/>
      <c r="Q18" s="665"/>
      <c r="R18" s="665"/>
      <c r="S18" s="677"/>
      <c r="T18" s="67"/>
      <c r="U18" s="67"/>
      <c r="V18" s="66"/>
      <c r="W18" s="67"/>
      <c r="X18" s="67"/>
      <c r="Y18" s="97"/>
    </row>
    <row r="19" spans="1:25" s="1" customFormat="1" ht="16.5" thickBot="1" x14ac:dyDescent="0.3">
      <c r="A19" s="147">
        <v>13</v>
      </c>
      <c r="B19" s="272" t="s">
        <v>57</v>
      </c>
      <c r="C19" s="370"/>
      <c r="D19" s="93" t="s">
        <v>58</v>
      </c>
      <c r="E19" s="181" t="s">
        <v>38</v>
      </c>
      <c r="F19" s="181" t="s">
        <v>39</v>
      </c>
      <c r="G19" s="544">
        <v>7170092.8399999999</v>
      </c>
      <c r="H19" s="122">
        <f t="shared" si="0"/>
        <v>9.168734521162453E-3</v>
      </c>
      <c r="I19" s="555">
        <v>9.5999999999999992E-3</v>
      </c>
      <c r="J19" s="373"/>
      <c r="K19" s="204"/>
      <c r="L19" s="374" t="s">
        <v>40</v>
      </c>
      <c r="M19" s="573">
        <v>59049620.740000002</v>
      </c>
      <c r="N19" s="186">
        <f t="shared" si="1"/>
        <v>0.12142487538693038</v>
      </c>
      <c r="O19" s="661"/>
      <c r="P19" s="664"/>
      <c r="Q19" s="656"/>
      <c r="R19" s="656"/>
      <c r="S19" s="658"/>
      <c r="T19" s="67"/>
      <c r="U19" s="67"/>
      <c r="V19" s="66"/>
      <c r="W19" s="67"/>
      <c r="X19" s="67"/>
      <c r="Y19" s="97"/>
    </row>
    <row r="20" spans="1:25" s="1" customFormat="1" ht="16.5" thickBot="1" x14ac:dyDescent="0.3">
      <c r="A20" s="217"/>
      <c r="B20" s="405" t="s">
        <v>173</v>
      </c>
      <c r="C20" s="406"/>
      <c r="D20" s="407"/>
      <c r="E20" s="408"/>
      <c r="F20" s="408"/>
      <c r="G20" s="387"/>
      <c r="H20" s="44"/>
      <c r="I20" s="44"/>
      <c r="J20" s="44"/>
      <c r="K20" s="378"/>
      <c r="L20" s="382"/>
      <c r="M20" s="375"/>
      <c r="N20" s="219"/>
      <c r="O20" s="376" t="s">
        <v>41</v>
      </c>
      <c r="P20" s="362">
        <v>0</v>
      </c>
      <c r="Q20" s="201">
        <v>1</v>
      </c>
      <c r="R20" s="103">
        <v>0</v>
      </c>
      <c r="S20" s="581" t="s">
        <v>168</v>
      </c>
      <c r="T20" s="67"/>
      <c r="U20" s="67"/>
      <c r="V20" s="66"/>
      <c r="W20" s="67"/>
      <c r="X20" s="67"/>
      <c r="Y20" s="97"/>
    </row>
    <row r="21" spans="1:25" s="1" customFormat="1" ht="16.5" thickBot="1" x14ac:dyDescent="0.3">
      <c r="A21" s="217"/>
      <c r="B21" s="405" t="s">
        <v>169</v>
      </c>
      <c r="C21" s="406"/>
      <c r="D21" s="409"/>
      <c r="E21" s="410"/>
      <c r="F21" s="410"/>
      <c r="G21" s="388"/>
      <c r="H21" s="44"/>
      <c r="I21" s="130"/>
      <c r="J21" s="130"/>
      <c r="K21" s="232"/>
      <c r="L21" s="126"/>
      <c r="M21" s="380"/>
      <c r="N21" s="263"/>
      <c r="O21" s="381" t="s">
        <v>41</v>
      </c>
      <c r="P21" s="384">
        <v>0</v>
      </c>
      <c r="Q21" s="200">
        <v>0.05</v>
      </c>
      <c r="R21" s="201">
        <v>0</v>
      </c>
      <c r="S21" s="202" t="s">
        <v>170</v>
      </c>
      <c r="T21" s="67"/>
      <c r="U21" s="67"/>
      <c r="V21" s="66"/>
      <c r="W21" s="67"/>
      <c r="X21" s="67"/>
      <c r="Y21" s="97"/>
    </row>
    <row r="22" spans="1:25" s="54" customFormat="1" ht="16.5" thickBot="1" x14ac:dyDescent="0.25">
      <c r="A22" s="40"/>
      <c r="B22" s="402" t="s">
        <v>171</v>
      </c>
      <c r="C22" s="403"/>
      <c r="D22" s="404"/>
      <c r="E22" s="404"/>
      <c r="F22" s="404"/>
      <c r="G22" s="43"/>
      <c r="H22" s="44">
        <f>G22/$G$70</f>
        <v>0</v>
      </c>
      <c r="I22" s="98"/>
      <c r="J22" s="45"/>
      <c r="K22" s="45"/>
      <c r="L22" s="383"/>
      <c r="M22" s="148"/>
      <c r="N22" s="149"/>
      <c r="O22" s="163"/>
      <c r="P22" s="386"/>
      <c r="Q22" s="583"/>
      <c r="R22" s="386"/>
      <c r="S22" s="152"/>
      <c r="T22" s="53"/>
      <c r="U22" s="53"/>
      <c r="V22" s="53"/>
      <c r="W22" s="53"/>
      <c r="X22" s="53"/>
      <c r="Y22" s="53"/>
    </row>
    <row r="23" spans="1:25" s="1" customFormat="1" ht="16.5" thickBot="1" x14ac:dyDescent="0.3">
      <c r="A23" s="8"/>
      <c r="B23" s="411" t="s">
        <v>181</v>
      </c>
      <c r="C23" s="406"/>
      <c r="D23" s="412"/>
      <c r="E23" s="408"/>
      <c r="F23" s="410"/>
      <c r="G23" s="367"/>
      <c r="H23" s="393"/>
      <c r="I23" s="260"/>
      <c r="J23" s="260"/>
      <c r="K23" s="395"/>
      <c r="L23" s="368"/>
      <c r="M23" s="396"/>
      <c r="N23" s="44"/>
      <c r="O23" s="385" t="s">
        <v>172</v>
      </c>
      <c r="P23" s="384">
        <v>0</v>
      </c>
      <c r="Q23" s="201">
        <v>0.6</v>
      </c>
      <c r="R23" s="582">
        <v>0</v>
      </c>
      <c r="S23" s="379" t="s">
        <v>180</v>
      </c>
      <c r="T23" s="162"/>
      <c r="U23" s="67"/>
      <c r="V23" s="66"/>
      <c r="W23" s="66"/>
      <c r="X23" s="66"/>
      <c r="Y23" s="68"/>
    </row>
    <row r="24" spans="1:25" s="54" customFormat="1" ht="16.5" thickBot="1" x14ac:dyDescent="0.25">
      <c r="A24" s="40"/>
      <c r="B24" s="402" t="s">
        <v>176</v>
      </c>
      <c r="C24" s="403"/>
      <c r="D24" s="404"/>
      <c r="E24" s="404"/>
      <c r="F24" s="404"/>
      <c r="G24" s="397">
        <f>SUM(G25:G34)</f>
        <v>193597810.53000003</v>
      </c>
      <c r="H24" s="260">
        <f t="shared" ref="H24:H34" si="2">G24/$G$70</f>
        <v>0.24756261435352339</v>
      </c>
      <c r="I24" s="392"/>
      <c r="J24" s="99"/>
      <c r="K24" s="187"/>
      <c r="L24" s="45"/>
      <c r="M24" s="148"/>
      <c r="N24" s="149"/>
      <c r="O24" s="42"/>
      <c r="P24" s="583"/>
      <c r="Q24" s="583"/>
      <c r="R24" s="584"/>
      <c r="S24" s="163"/>
      <c r="T24" s="53"/>
      <c r="U24" s="53"/>
      <c r="V24" s="53"/>
      <c r="W24" s="53"/>
      <c r="X24" s="53"/>
      <c r="Y24" s="53"/>
    </row>
    <row r="25" spans="1:25" s="1" customFormat="1" ht="15.75" x14ac:dyDescent="0.25">
      <c r="A25" s="8">
        <v>18</v>
      </c>
      <c r="B25" s="55" t="s">
        <v>67</v>
      </c>
      <c r="C25" s="157" t="s">
        <v>68</v>
      </c>
      <c r="D25" s="71" t="s">
        <v>69</v>
      </c>
      <c r="E25" s="140" t="s">
        <v>70</v>
      </c>
      <c r="F25" s="140" t="s">
        <v>70</v>
      </c>
      <c r="G25" s="141">
        <v>0</v>
      </c>
      <c r="H25" s="164">
        <f t="shared" si="2"/>
        <v>0</v>
      </c>
      <c r="I25" s="165">
        <v>0</v>
      </c>
      <c r="J25" s="166"/>
      <c r="K25" s="167"/>
      <c r="L25" s="168" t="s">
        <v>71</v>
      </c>
      <c r="M25" s="169">
        <v>6893035004.8800001</v>
      </c>
      <c r="N25" s="133">
        <f t="shared" ref="N25:N32" si="3">G25/M25</f>
        <v>0</v>
      </c>
      <c r="O25" s="659" t="s">
        <v>60</v>
      </c>
      <c r="P25" s="662">
        <f>SUM(G25:G34)/G70</f>
        <v>0.24756261435352339</v>
      </c>
      <c r="Q25" s="655">
        <v>0.4</v>
      </c>
      <c r="R25" s="655">
        <v>0.3</v>
      </c>
      <c r="S25" s="657" t="s">
        <v>177</v>
      </c>
      <c r="T25" s="67"/>
      <c r="U25" s="67"/>
      <c r="V25" s="66"/>
      <c r="W25" s="67"/>
      <c r="X25" s="67"/>
      <c r="Y25" s="97"/>
    </row>
    <row r="26" spans="1:25" s="1" customFormat="1" ht="15.75" x14ac:dyDescent="0.25">
      <c r="A26" s="8">
        <v>19</v>
      </c>
      <c r="B26" s="55" t="s">
        <v>72</v>
      </c>
      <c r="C26" s="157" t="s">
        <v>68</v>
      </c>
      <c r="D26" s="71" t="s">
        <v>73</v>
      </c>
      <c r="E26" s="140" t="s">
        <v>70</v>
      </c>
      <c r="F26" s="140" t="s">
        <v>74</v>
      </c>
      <c r="G26" s="565">
        <v>798627.39</v>
      </c>
      <c r="H26" s="164">
        <f t="shared" si="2"/>
        <v>1.021242358172711E-3</v>
      </c>
      <c r="I26" s="526">
        <v>4.5999999999999999E-3</v>
      </c>
      <c r="J26" s="124"/>
      <c r="K26" s="144"/>
      <c r="L26" s="145" t="s">
        <v>71</v>
      </c>
      <c r="M26" s="566">
        <v>8315053689.2200003</v>
      </c>
      <c r="N26" s="133">
        <f t="shared" si="3"/>
        <v>9.6045969136119411E-5</v>
      </c>
      <c r="O26" s="660"/>
      <c r="P26" s="663"/>
      <c r="Q26" s="665"/>
      <c r="R26" s="665"/>
      <c r="S26" s="677"/>
      <c r="T26" s="67"/>
      <c r="U26" s="67"/>
      <c r="V26" s="66"/>
      <c r="W26" s="67"/>
      <c r="X26" s="67"/>
      <c r="Y26" s="97"/>
    </row>
    <row r="27" spans="1:25" s="1" customFormat="1" ht="15.75" x14ac:dyDescent="0.25">
      <c r="A27" s="8"/>
      <c r="B27" s="55" t="s">
        <v>72</v>
      </c>
      <c r="C27" s="157" t="s">
        <v>68</v>
      </c>
      <c r="D27" s="71" t="s">
        <v>69</v>
      </c>
      <c r="E27" s="140" t="s">
        <v>70</v>
      </c>
      <c r="F27" s="140" t="s">
        <v>70</v>
      </c>
      <c r="G27" s="565">
        <v>236217.35</v>
      </c>
      <c r="H27" s="164">
        <f t="shared" si="2"/>
        <v>3.0206222147641172E-4</v>
      </c>
      <c r="I27" s="526">
        <v>5.3E-3</v>
      </c>
      <c r="J27" s="171"/>
      <c r="K27" s="172"/>
      <c r="L27" s="145" t="s">
        <v>71</v>
      </c>
      <c r="M27" s="566">
        <v>6997570434.0200005</v>
      </c>
      <c r="N27" s="133">
        <f t="shared" si="3"/>
        <v>3.3757052140780905E-5</v>
      </c>
      <c r="O27" s="660"/>
      <c r="P27" s="663"/>
      <c r="Q27" s="665"/>
      <c r="R27" s="665"/>
      <c r="S27" s="677"/>
      <c r="T27" s="67"/>
      <c r="U27" s="67"/>
      <c r="V27" s="66"/>
      <c r="W27" s="67"/>
      <c r="X27" s="67"/>
      <c r="Y27" s="97"/>
    </row>
    <row r="28" spans="1:25" s="1" customFormat="1" ht="15.75" x14ac:dyDescent="0.25">
      <c r="A28" s="8"/>
      <c r="B28" s="55" t="s">
        <v>42</v>
      </c>
      <c r="C28" s="56" t="s">
        <v>43</v>
      </c>
      <c r="D28" s="57" t="s">
        <v>59</v>
      </c>
      <c r="E28" s="119" t="s">
        <v>38</v>
      </c>
      <c r="F28" s="129" t="s">
        <v>39</v>
      </c>
      <c r="G28" s="538">
        <v>53072256.170000002</v>
      </c>
      <c r="H28" s="82">
        <f t="shared" si="2"/>
        <v>6.7865986971216971E-2</v>
      </c>
      <c r="I28" s="531">
        <v>9.2250000000000006E-3</v>
      </c>
      <c r="J28" s="124"/>
      <c r="K28" s="172"/>
      <c r="L28" s="132" t="s">
        <v>40</v>
      </c>
      <c r="M28" s="567">
        <v>1113606395.8299999</v>
      </c>
      <c r="N28" s="133">
        <f>G28/M28</f>
        <v>4.7658002296622821E-2</v>
      </c>
      <c r="O28" s="660"/>
      <c r="P28" s="663"/>
      <c r="Q28" s="665"/>
      <c r="R28" s="665"/>
      <c r="S28" s="677"/>
      <c r="T28" s="67"/>
      <c r="U28" s="67"/>
      <c r="V28" s="66"/>
      <c r="W28" s="67"/>
      <c r="X28" s="67"/>
      <c r="Y28" s="97"/>
    </row>
    <row r="29" spans="1:25" s="1" customFormat="1" ht="16.5" thickBot="1" x14ac:dyDescent="0.3">
      <c r="A29" s="8">
        <v>21</v>
      </c>
      <c r="B29" s="173" t="s">
        <v>75</v>
      </c>
      <c r="C29" s="174"/>
      <c r="D29" s="175" t="s">
        <v>76</v>
      </c>
      <c r="E29" s="140" t="s">
        <v>38</v>
      </c>
      <c r="F29" s="129" t="s">
        <v>39</v>
      </c>
      <c r="G29" s="538">
        <v>16212225.02</v>
      </c>
      <c r="H29" s="176">
        <f t="shared" si="2"/>
        <v>2.0731333683222945E-2</v>
      </c>
      <c r="I29" s="540">
        <v>7.4000000000000003E-3</v>
      </c>
      <c r="J29" s="177"/>
      <c r="K29" s="178"/>
      <c r="L29" s="126" t="s">
        <v>71</v>
      </c>
      <c r="M29" s="541">
        <v>231611136.47</v>
      </c>
      <c r="N29" s="133">
        <f t="shared" si="3"/>
        <v>6.9997605758909301E-2</v>
      </c>
      <c r="O29" s="660"/>
      <c r="P29" s="663"/>
      <c r="Q29" s="665"/>
      <c r="R29" s="665"/>
      <c r="S29" s="677"/>
      <c r="T29" s="67"/>
      <c r="U29" s="67"/>
      <c r="V29" s="66"/>
      <c r="W29" s="67"/>
      <c r="X29" s="67"/>
      <c r="Y29" s="97"/>
    </row>
    <row r="30" spans="1:25" s="1" customFormat="1" ht="16.5" thickBot="1" x14ac:dyDescent="0.3">
      <c r="A30" s="8">
        <v>22</v>
      </c>
      <c r="B30" s="55" t="s">
        <v>55</v>
      </c>
      <c r="C30" s="105" t="s">
        <v>77</v>
      </c>
      <c r="D30" s="71" t="s">
        <v>78</v>
      </c>
      <c r="E30" s="140" t="s">
        <v>38</v>
      </c>
      <c r="F30" s="140" t="s">
        <v>38</v>
      </c>
      <c r="G30" s="565">
        <v>6375398.2400000002</v>
      </c>
      <c r="H30" s="142">
        <f t="shared" si="2"/>
        <v>8.152521206300915E-3</v>
      </c>
      <c r="I30" s="531">
        <v>5.1999999999999998E-3</v>
      </c>
      <c r="J30" s="143"/>
      <c r="K30" s="144"/>
      <c r="L30" s="126" t="s">
        <v>71</v>
      </c>
      <c r="M30" s="569">
        <v>9610867395.25</v>
      </c>
      <c r="N30" s="133">
        <f t="shared" si="3"/>
        <v>6.6335305418436293E-4</v>
      </c>
      <c r="O30" s="660"/>
      <c r="P30" s="663"/>
      <c r="Q30" s="665"/>
      <c r="R30" s="665"/>
      <c r="S30" s="677"/>
      <c r="T30" s="67"/>
      <c r="U30" s="67"/>
      <c r="V30" s="66"/>
      <c r="W30" s="67"/>
      <c r="X30" s="67"/>
      <c r="Y30" s="97"/>
    </row>
    <row r="31" spans="1:25" s="1" customFormat="1" ht="15.75" x14ac:dyDescent="0.25">
      <c r="A31" s="8">
        <v>23</v>
      </c>
      <c r="B31" s="55" t="s">
        <v>55</v>
      </c>
      <c r="C31" s="105" t="s">
        <v>36</v>
      </c>
      <c r="D31" s="71" t="s">
        <v>79</v>
      </c>
      <c r="E31" s="140" t="s">
        <v>38</v>
      </c>
      <c r="F31" s="140" t="s">
        <v>39</v>
      </c>
      <c r="G31" s="565">
        <v>26789664.43</v>
      </c>
      <c r="H31" s="142">
        <f t="shared" si="2"/>
        <v>3.4257202319530757E-2</v>
      </c>
      <c r="I31" s="531">
        <v>1.03E-2</v>
      </c>
      <c r="J31" s="143"/>
      <c r="K31" s="144"/>
      <c r="L31" s="145" t="s">
        <v>80</v>
      </c>
      <c r="M31" s="569">
        <v>1526063252.26</v>
      </c>
      <c r="N31" s="133">
        <f t="shared" si="3"/>
        <v>1.7554753638373936E-2</v>
      </c>
      <c r="O31" s="660"/>
      <c r="P31" s="663"/>
      <c r="Q31" s="665"/>
      <c r="R31" s="665"/>
      <c r="S31" s="677"/>
      <c r="T31" s="67"/>
      <c r="U31" s="67"/>
      <c r="V31" s="66"/>
      <c r="W31" s="67"/>
      <c r="X31" s="67"/>
      <c r="Y31" s="97"/>
    </row>
    <row r="32" spans="1:25" s="1" customFormat="1" ht="15.75" x14ac:dyDescent="0.25">
      <c r="A32" s="8">
        <v>24</v>
      </c>
      <c r="B32" s="173" t="s">
        <v>62</v>
      </c>
      <c r="C32" s="180"/>
      <c r="D32" s="505" t="s">
        <v>81</v>
      </c>
      <c r="E32" s="129" t="s">
        <v>38</v>
      </c>
      <c r="F32" s="209" t="s">
        <v>38</v>
      </c>
      <c r="G32" s="529">
        <v>13867919.84</v>
      </c>
      <c r="H32" s="506">
        <f t="shared" si="2"/>
        <v>1.7733560528586084E-2</v>
      </c>
      <c r="I32" s="540">
        <v>5.1999999999999998E-3</v>
      </c>
      <c r="J32" s="211"/>
      <c r="K32" s="232"/>
      <c r="L32" s="126" t="s">
        <v>71</v>
      </c>
      <c r="M32" s="541">
        <v>8893322367.3099995</v>
      </c>
      <c r="N32" s="146">
        <f t="shared" si="3"/>
        <v>1.5593632241394492E-3</v>
      </c>
      <c r="O32" s="660"/>
      <c r="P32" s="663"/>
      <c r="Q32" s="665"/>
      <c r="R32" s="665"/>
      <c r="S32" s="677"/>
      <c r="T32" s="67"/>
      <c r="U32" s="67"/>
      <c r="V32" s="66"/>
      <c r="W32" s="67"/>
      <c r="X32" s="67"/>
      <c r="Y32" s="97"/>
    </row>
    <row r="33" spans="1:25" s="1" customFormat="1" ht="15.75" x14ac:dyDescent="0.25">
      <c r="A33" s="8"/>
      <c r="B33" s="55" t="s">
        <v>62</v>
      </c>
      <c r="C33" s="157" t="s">
        <v>63</v>
      </c>
      <c r="D33" s="158" t="s">
        <v>64</v>
      </c>
      <c r="E33" s="119" t="s">
        <v>38</v>
      </c>
      <c r="F33" s="119" t="s">
        <v>39</v>
      </c>
      <c r="G33" s="538">
        <v>48418813.420000002</v>
      </c>
      <c r="H33" s="73">
        <f t="shared" si="2"/>
        <v>6.191541113680725E-2</v>
      </c>
      <c r="I33" s="545">
        <v>9.7000000000000003E-3</v>
      </c>
      <c r="J33" s="390"/>
      <c r="K33" s="391"/>
      <c r="L33" s="160" t="s">
        <v>40</v>
      </c>
      <c r="M33" s="547">
        <v>1510550949.52</v>
      </c>
      <c r="N33" s="133">
        <f>G33/M33</f>
        <v>3.2053743990155245E-2</v>
      </c>
      <c r="O33" s="660"/>
      <c r="P33" s="663"/>
      <c r="Q33" s="665"/>
      <c r="R33" s="665"/>
      <c r="S33" s="677"/>
      <c r="T33" s="67"/>
      <c r="U33" s="67"/>
      <c r="V33" s="66"/>
      <c r="W33" s="67"/>
      <c r="X33" s="67"/>
      <c r="Y33" s="97"/>
    </row>
    <row r="34" spans="1:25" s="1" customFormat="1" ht="16.5" thickBot="1" x14ac:dyDescent="0.3">
      <c r="A34" s="8"/>
      <c r="B34" s="511" t="s">
        <v>62</v>
      </c>
      <c r="C34" s="157" t="s">
        <v>65</v>
      </c>
      <c r="D34" s="512" t="s">
        <v>66</v>
      </c>
      <c r="E34" s="389" t="s">
        <v>38</v>
      </c>
      <c r="F34" s="389" t="s">
        <v>39</v>
      </c>
      <c r="G34" s="544">
        <v>27826688.670000002</v>
      </c>
      <c r="H34" s="95">
        <f t="shared" si="2"/>
        <v>3.5583293928209324E-2</v>
      </c>
      <c r="I34" s="546">
        <v>1.6500000000000001E-2</v>
      </c>
      <c r="J34" s="196"/>
      <c r="K34" s="197"/>
      <c r="L34" s="374" t="s">
        <v>53</v>
      </c>
      <c r="M34" s="548">
        <v>495849711.86000001</v>
      </c>
      <c r="N34" s="146">
        <f>G34/M34</f>
        <v>5.6119199032340444E-2</v>
      </c>
      <c r="O34" s="661"/>
      <c r="P34" s="664"/>
      <c r="Q34" s="656"/>
      <c r="R34" s="656"/>
      <c r="S34" s="658"/>
      <c r="T34" s="67"/>
      <c r="U34" s="67"/>
      <c r="V34" s="66"/>
      <c r="W34" s="67"/>
      <c r="X34" s="67"/>
      <c r="Y34" s="97"/>
    </row>
    <row r="35" spans="1:25" s="1" customFormat="1" ht="16.5" thickBot="1" x14ac:dyDescent="0.3">
      <c r="A35" s="8"/>
      <c r="B35" s="414" t="s">
        <v>178</v>
      </c>
      <c r="C35" s="406"/>
      <c r="D35" s="409"/>
      <c r="E35" s="413"/>
      <c r="F35" s="413"/>
      <c r="G35" s="387"/>
      <c r="H35" s="260"/>
      <c r="I35" s="44"/>
      <c r="J35" s="260"/>
      <c r="K35" s="183"/>
      <c r="L35" s="398"/>
      <c r="M35" s="507"/>
      <c r="N35" s="508"/>
      <c r="O35" s="400" t="s">
        <v>60</v>
      </c>
      <c r="P35" s="384">
        <v>0</v>
      </c>
      <c r="Q35" s="200">
        <v>0.4</v>
      </c>
      <c r="R35" s="201">
        <v>0</v>
      </c>
      <c r="S35" s="202" t="s">
        <v>179</v>
      </c>
      <c r="T35" s="67"/>
      <c r="U35" s="67"/>
      <c r="V35" s="66"/>
      <c r="W35" s="67"/>
      <c r="X35" s="67"/>
      <c r="Y35" s="97"/>
    </row>
    <row r="36" spans="1:25" s="1" customFormat="1" ht="16.5" thickBot="1" x14ac:dyDescent="0.3">
      <c r="A36" s="8"/>
      <c r="B36" s="503" t="s">
        <v>182</v>
      </c>
      <c r="C36" s="406"/>
      <c r="D36" s="504"/>
      <c r="E36" s="413"/>
      <c r="F36" s="413"/>
      <c r="G36" s="387"/>
      <c r="H36" s="260"/>
      <c r="I36" s="44"/>
      <c r="J36" s="260"/>
      <c r="K36" s="183"/>
      <c r="L36" s="398"/>
      <c r="M36" s="185"/>
      <c r="N36" s="260"/>
      <c r="O36" s="399" t="s">
        <v>60</v>
      </c>
      <c r="P36" s="384">
        <v>0</v>
      </c>
      <c r="Q36" s="201">
        <v>0.2</v>
      </c>
      <c r="R36" s="103">
        <v>0</v>
      </c>
      <c r="S36" s="202" t="s">
        <v>183</v>
      </c>
      <c r="T36" s="67"/>
      <c r="U36" s="67"/>
      <c r="V36" s="66"/>
      <c r="W36" s="67"/>
      <c r="X36" s="67"/>
      <c r="Y36" s="97"/>
    </row>
    <row r="37" spans="1:25" s="1" customFormat="1" ht="16.5" thickBot="1" x14ac:dyDescent="0.3">
      <c r="A37" s="8"/>
      <c r="B37" s="411" t="s">
        <v>184</v>
      </c>
      <c r="C37" s="406"/>
      <c r="D37" s="504"/>
      <c r="E37" s="413"/>
      <c r="F37" s="413"/>
      <c r="G37" s="377"/>
      <c r="H37" s="260"/>
      <c r="I37" s="44"/>
      <c r="J37" s="260"/>
      <c r="K37" s="183"/>
      <c r="L37" s="398"/>
      <c r="M37" s="185"/>
      <c r="N37" s="260"/>
      <c r="O37" s="369" t="s">
        <v>60</v>
      </c>
      <c r="P37" s="362">
        <v>0</v>
      </c>
      <c r="Q37" s="102">
        <v>0.15</v>
      </c>
      <c r="R37" s="103">
        <v>0</v>
      </c>
      <c r="S37" s="202" t="s">
        <v>186</v>
      </c>
      <c r="T37" s="67"/>
      <c r="U37" s="67"/>
      <c r="V37" s="66"/>
      <c r="W37" s="67"/>
      <c r="X37" s="67"/>
      <c r="Y37" s="97"/>
    </row>
    <row r="38" spans="1:25" s="1" customFormat="1" ht="16.5" thickBot="1" x14ac:dyDescent="0.3">
      <c r="A38" s="8"/>
      <c r="B38" s="411" t="s">
        <v>185</v>
      </c>
      <c r="C38" s="509"/>
      <c r="D38" s="504"/>
      <c r="E38" s="413"/>
      <c r="F38" s="413"/>
      <c r="G38" s="377"/>
      <c r="H38" s="260"/>
      <c r="I38" s="44"/>
      <c r="J38" s="260"/>
      <c r="K38" s="183"/>
      <c r="L38" s="398"/>
      <c r="M38" s="185"/>
      <c r="N38" s="260"/>
      <c r="O38" s="369" t="s">
        <v>60</v>
      </c>
      <c r="P38" s="362">
        <v>0</v>
      </c>
      <c r="Q38" s="102">
        <v>0.15</v>
      </c>
      <c r="R38" s="103">
        <v>0</v>
      </c>
      <c r="S38" s="202" t="s">
        <v>187</v>
      </c>
      <c r="T38" s="67"/>
      <c r="U38" s="67"/>
      <c r="V38" s="66"/>
      <c r="W38" s="67"/>
      <c r="X38" s="67"/>
      <c r="Y38" s="97"/>
    </row>
    <row r="39" spans="1:25" s="54" customFormat="1" ht="16.5" thickBot="1" x14ac:dyDescent="0.25">
      <c r="A39" s="40"/>
      <c r="B39" s="510" t="s">
        <v>188</v>
      </c>
      <c r="C39" s="403"/>
      <c r="D39" s="404"/>
      <c r="E39" s="404"/>
      <c r="F39" s="404"/>
      <c r="G39" s="43">
        <f>SUM(G40:G42)</f>
        <v>7108303.8199999994</v>
      </c>
      <c r="H39" s="44">
        <f>G39/$G$70</f>
        <v>9.0897219988221156E-3</v>
      </c>
      <c r="I39" s="98"/>
      <c r="J39" s="45"/>
      <c r="K39" s="45"/>
      <c r="L39" s="187"/>
      <c r="M39" s="188"/>
      <c r="N39" s="189"/>
      <c r="O39" s="190"/>
      <c r="P39" s="191"/>
      <c r="Q39" s="583"/>
      <c r="R39" s="584"/>
      <c r="S39" s="152"/>
      <c r="T39" s="53"/>
      <c r="U39" s="53"/>
      <c r="V39" s="53"/>
      <c r="W39" s="53"/>
      <c r="X39" s="53"/>
      <c r="Y39" s="53"/>
    </row>
    <row r="40" spans="1:25" s="1" customFormat="1" ht="16.5" thickBot="1" x14ac:dyDescent="0.3">
      <c r="A40" s="8">
        <v>25</v>
      </c>
      <c r="B40" s="104" t="s">
        <v>82</v>
      </c>
      <c r="C40" s="118"/>
      <c r="D40" s="208" t="s">
        <v>83</v>
      </c>
      <c r="E40" s="120" t="s">
        <v>84</v>
      </c>
      <c r="F40" s="120" t="s">
        <v>85</v>
      </c>
      <c r="G40" s="559">
        <v>7010526.0499999998</v>
      </c>
      <c r="H40" s="225">
        <f>G40/$G$70</f>
        <v>8.9646889713276938E-3</v>
      </c>
      <c r="I40" s="545">
        <v>6.1000000000000004E-3</v>
      </c>
      <c r="J40" s="234"/>
      <c r="K40" s="429"/>
      <c r="L40" s="126" t="s">
        <v>71</v>
      </c>
      <c r="M40" s="78">
        <v>492697259.19</v>
      </c>
      <c r="N40" s="216">
        <f>G40/M40</f>
        <v>1.4228871622962519E-2</v>
      </c>
      <c r="O40" s="698" t="s">
        <v>60</v>
      </c>
      <c r="P40" s="662">
        <f>SUM(G40:G42)/G70</f>
        <v>9.0897219988221156E-3</v>
      </c>
      <c r="Q40" s="701">
        <v>0.05</v>
      </c>
      <c r="R40" s="675">
        <v>0.02</v>
      </c>
      <c r="S40" s="657" t="s">
        <v>193</v>
      </c>
      <c r="T40" s="67"/>
      <c r="U40" s="67"/>
      <c r="V40" s="67"/>
      <c r="W40" s="67"/>
      <c r="X40" s="66"/>
      <c r="Y40" s="68"/>
    </row>
    <row r="41" spans="1:25" s="1" customFormat="1" ht="15.75" customHeight="1" x14ac:dyDescent="0.25">
      <c r="A41" s="8">
        <v>26</v>
      </c>
      <c r="B41" s="117" t="s">
        <v>86</v>
      </c>
      <c r="C41" s="105" t="s">
        <v>87</v>
      </c>
      <c r="D41" s="71" t="s">
        <v>88</v>
      </c>
      <c r="E41" s="129" t="s">
        <v>89</v>
      </c>
      <c r="F41" s="129" t="s">
        <v>89</v>
      </c>
      <c r="G41" s="538">
        <v>39274.629999999997</v>
      </c>
      <c r="H41" s="82">
        <f>G41/$G$70</f>
        <v>5.0222314260422116E-5</v>
      </c>
      <c r="I41" s="576">
        <v>-1.18E-2</v>
      </c>
      <c r="J41" s="124"/>
      <c r="K41" s="430"/>
      <c r="L41" s="132" t="s">
        <v>71</v>
      </c>
      <c r="M41" s="567">
        <v>916409.71</v>
      </c>
      <c r="N41" s="133">
        <f>G41/M41</f>
        <v>4.2857064445552415E-2</v>
      </c>
      <c r="O41" s="699"/>
      <c r="P41" s="663"/>
      <c r="Q41" s="702"/>
      <c r="R41" s="697"/>
      <c r="S41" s="677"/>
      <c r="T41" s="67"/>
      <c r="U41" s="67"/>
      <c r="V41" s="66"/>
      <c r="W41" s="67"/>
      <c r="X41" s="66"/>
      <c r="Y41" s="68"/>
    </row>
    <row r="42" spans="1:25" s="1" customFormat="1" ht="16.5" thickBot="1" x14ac:dyDescent="0.3">
      <c r="A42" s="8">
        <v>27</v>
      </c>
      <c r="B42" s="192" t="s">
        <v>90</v>
      </c>
      <c r="C42" s="118"/>
      <c r="D42" s="92" t="s">
        <v>91</v>
      </c>
      <c r="E42" s="193" t="s">
        <v>89</v>
      </c>
      <c r="F42" s="193" t="s">
        <v>89</v>
      </c>
      <c r="G42" s="575">
        <v>58503.14</v>
      </c>
      <c r="H42" s="195">
        <f>G42/$G$70</f>
        <v>7.4810713234000462E-5</v>
      </c>
      <c r="I42" s="577">
        <v>-0.20300000000000001</v>
      </c>
      <c r="J42" s="161"/>
      <c r="K42" s="204"/>
      <c r="L42" s="184" t="s">
        <v>71</v>
      </c>
      <c r="M42" s="578">
        <v>1175931.06</v>
      </c>
      <c r="N42" s="186">
        <f>G42/M42</f>
        <v>4.975048452245151E-2</v>
      </c>
      <c r="O42" s="700"/>
      <c r="P42" s="664"/>
      <c r="Q42" s="703"/>
      <c r="R42" s="676"/>
      <c r="S42" s="658"/>
      <c r="T42" s="67"/>
      <c r="U42" s="67"/>
      <c r="V42" s="66"/>
      <c r="W42" s="67"/>
      <c r="X42" s="66"/>
      <c r="Y42" s="68"/>
    </row>
    <row r="43" spans="1:25" s="1" customFormat="1" ht="16.5" thickBot="1" x14ac:dyDescent="0.3">
      <c r="A43" s="8"/>
      <c r="B43" s="414" t="s">
        <v>189</v>
      </c>
      <c r="C43" s="406"/>
      <c r="D43" s="415"/>
      <c r="E43" s="413"/>
      <c r="F43" s="413"/>
      <c r="G43" s="366"/>
      <c r="H43" s="260"/>
      <c r="I43" s="401"/>
      <c r="J43" s="260"/>
      <c r="K43" s="183"/>
      <c r="L43" s="398"/>
      <c r="M43" s="185"/>
      <c r="N43" s="44"/>
      <c r="O43" s="392" t="s">
        <v>60</v>
      </c>
      <c r="P43" s="384">
        <v>0</v>
      </c>
      <c r="Q43" s="200">
        <v>0.05</v>
      </c>
      <c r="R43" s="201">
        <v>0.01</v>
      </c>
      <c r="S43" s="581" t="s">
        <v>191</v>
      </c>
      <c r="T43" s="67"/>
      <c r="U43" s="67"/>
      <c r="V43" s="66"/>
      <c r="W43" s="67"/>
      <c r="X43" s="66"/>
      <c r="Y43" s="68"/>
    </row>
    <row r="44" spans="1:25" s="1" customFormat="1" ht="16.5" thickBot="1" x14ac:dyDescent="0.3">
      <c r="A44" s="8"/>
      <c r="B44" s="414" t="s">
        <v>190</v>
      </c>
      <c r="C44" s="406"/>
      <c r="D44" s="415"/>
      <c r="E44" s="413"/>
      <c r="F44" s="413"/>
      <c r="G44" s="366"/>
      <c r="H44" s="260"/>
      <c r="I44" s="401"/>
      <c r="J44" s="260"/>
      <c r="K44" s="183"/>
      <c r="L44" s="398"/>
      <c r="M44" s="185"/>
      <c r="N44" s="260"/>
      <c r="O44" s="392" t="s">
        <v>60</v>
      </c>
      <c r="P44" s="384">
        <v>0</v>
      </c>
      <c r="Q44" s="200">
        <v>0.05</v>
      </c>
      <c r="R44" s="201">
        <v>0</v>
      </c>
      <c r="S44" s="581" t="s">
        <v>192</v>
      </c>
      <c r="T44" s="67"/>
      <c r="U44" s="67"/>
      <c r="V44" s="66"/>
      <c r="W44" s="67"/>
      <c r="X44" s="66"/>
      <c r="Y44" s="68"/>
    </row>
    <row r="45" spans="1:25" s="54" customFormat="1" ht="16.5" thickBot="1" x14ac:dyDescent="0.25">
      <c r="A45" s="40"/>
      <c r="B45" s="402" t="s">
        <v>194</v>
      </c>
      <c r="C45" s="403"/>
      <c r="D45" s="404"/>
      <c r="E45" s="404"/>
      <c r="F45" s="404"/>
      <c r="G45" s="43">
        <f>SUM(G46:G47)</f>
        <v>58169639.240000002</v>
      </c>
      <c r="H45" s="44">
        <f t="shared" ref="H45:H55" si="4">G45/$G$70</f>
        <v>7.4384250146383613E-2</v>
      </c>
      <c r="I45" s="98"/>
      <c r="J45" s="45"/>
      <c r="K45" s="45"/>
      <c r="L45" s="45"/>
      <c r="M45" s="148"/>
      <c r="N45" s="101"/>
      <c r="O45" s="42"/>
      <c r="P45" s="205">
        <f>SUM((G4+G11+G22+G24+G39)/G70)*100</f>
        <v>79.129717868807504</v>
      </c>
      <c r="Q45" s="50"/>
      <c r="R45" s="584"/>
      <c r="S45" s="152"/>
      <c r="T45" s="53"/>
      <c r="U45" s="53"/>
      <c r="V45" s="53"/>
      <c r="W45" s="53"/>
      <c r="X45" s="53"/>
      <c r="Y45" s="53"/>
    </row>
    <row r="46" spans="1:25" s="1" customFormat="1" ht="15.75" x14ac:dyDescent="0.25">
      <c r="A46" s="8">
        <v>28</v>
      </c>
      <c r="B46" s="206" t="s">
        <v>55</v>
      </c>
      <c r="C46" s="207"/>
      <c r="D46" s="208" t="s">
        <v>92</v>
      </c>
      <c r="E46" s="209" t="s">
        <v>93</v>
      </c>
      <c r="F46" s="209" t="s">
        <v>94</v>
      </c>
      <c r="G46" s="571">
        <v>39458518.460000001</v>
      </c>
      <c r="H46" s="82">
        <f t="shared" si="4"/>
        <v>5.0457461072167649E-2</v>
      </c>
      <c r="I46" s="551">
        <v>-2E-3</v>
      </c>
      <c r="J46" s="112"/>
      <c r="K46" s="125"/>
      <c r="L46" s="145" t="s">
        <v>95</v>
      </c>
      <c r="M46" s="572">
        <v>763553525.20000005</v>
      </c>
      <c r="N46" s="434">
        <f>G46/M46</f>
        <v>5.1677475327829181E-2</v>
      </c>
      <c r="O46" s="711" t="s">
        <v>96</v>
      </c>
      <c r="P46" s="680">
        <f>(SUM(G46:G47)/G70)</f>
        <v>7.4384250146383613E-2</v>
      </c>
      <c r="Q46" s="655">
        <v>0.3</v>
      </c>
      <c r="R46" s="655">
        <v>0.15</v>
      </c>
      <c r="S46" s="666" t="s">
        <v>196</v>
      </c>
      <c r="T46" s="67"/>
      <c r="U46" s="67"/>
      <c r="V46" s="66"/>
      <c r="W46" s="67"/>
      <c r="X46" s="67"/>
      <c r="Y46" s="212"/>
    </row>
    <row r="47" spans="1:25" s="1" customFormat="1" ht="16.5" thickBot="1" x14ac:dyDescent="0.3">
      <c r="A47" s="8"/>
      <c r="B47" s="245" t="s">
        <v>116</v>
      </c>
      <c r="C47" s="92" t="s">
        <v>100</v>
      </c>
      <c r="D47" s="549" t="s">
        <v>235</v>
      </c>
      <c r="E47" s="120" t="s">
        <v>39</v>
      </c>
      <c r="F47" s="120" t="s">
        <v>94</v>
      </c>
      <c r="G47" s="525">
        <v>18711120.780000001</v>
      </c>
      <c r="H47" s="240">
        <f t="shared" si="4"/>
        <v>2.3926789074215971E-2</v>
      </c>
      <c r="I47" s="555">
        <v>-2.18E-2</v>
      </c>
      <c r="J47" s="171"/>
      <c r="K47" s="552"/>
      <c r="L47" s="248" t="s">
        <v>236</v>
      </c>
      <c r="M47" s="556">
        <v>276905023.88999999</v>
      </c>
      <c r="N47" s="553">
        <f t="shared" ref="N47" si="5">G47/M47</f>
        <v>6.7572341292850502E-2</v>
      </c>
      <c r="O47" s="713"/>
      <c r="P47" s="714"/>
      <c r="Q47" s="656"/>
      <c r="R47" s="656"/>
      <c r="S47" s="668"/>
      <c r="T47" s="554"/>
      <c r="U47" s="67"/>
      <c r="V47" s="66"/>
      <c r="W47" s="67"/>
      <c r="X47" s="67"/>
      <c r="Y47" s="212"/>
    </row>
    <row r="48" spans="1:25" s="1" customFormat="1" ht="16.5" thickBot="1" x14ac:dyDescent="0.3">
      <c r="A48" s="217"/>
      <c r="B48" s="402" t="s">
        <v>199</v>
      </c>
      <c r="C48" s="403"/>
      <c r="D48" s="404"/>
      <c r="E48" s="404"/>
      <c r="F48" s="404"/>
      <c r="G48" s="43">
        <f>SUM(G49)</f>
        <v>0</v>
      </c>
      <c r="H48" s="219">
        <f t="shared" si="4"/>
        <v>0</v>
      </c>
      <c r="I48" s="98"/>
      <c r="J48" s="45"/>
      <c r="K48" s="45"/>
      <c r="L48" s="45"/>
      <c r="M48" s="148"/>
      <c r="N48" s="149"/>
      <c r="O48" s="42"/>
      <c r="P48" s="191"/>
      <c r="Q48" s="583"/>
      <c r="R48" s="254"/>
      <c r="S48" s="220"/>
      <c r="T48" s="67"/>
      <c r="U48" s="67"/>
      <c r="V48" s="66"/>
      <c r="W48" s="67"/>
      <c r="X48" s="67"/>
      <c r="Y48" s="212"/>
    </row>
    <row r="49" spans="1:25" s="1" customFormat="1" ht="16.5" thickBot="1" x14ac:dyDescent="0.3">
      <c r="A49" s="217">
        <v>31</v>
      </c>
      <c r="B49" s="221" t="s">
        <v>50</v>
      </c>
      <c r="C49" s="118"/>
      <c r="D49" s="222" t="s">
        <v>101</v>
      </c>
      <c r="E49" s="223" t="s">
        <v>39</v>
      </c>
      <c r="F49" s="129" t="s">
        <v>49</v>
      </c>
      <c r="G49" s="224">
        <v>0</v>
      </c>
      <c r="H49" s="225">
        <f t="shared" si="4"/>
        <v>0</v>
      </c>
      <c r="I49" s="74">
        <v>0</v>
      </c>
      <c r="J49" s="171"/>
      <c r="K49" s="226"/>
      <c r="L49" s="145" t="s">
        <v>95</v>
      </c>
      <c r="M49" s="214">
        <v>0</v>
      </c>
      <c r="N49" s="216">
        <v>0</v>
      </c>
      <c r="O49" s="227" t="s">
        <v>96</v>
      </c>
      <c r="P49" s="228">
        <f>G49/G70</f>
        <v>0</v>
      </c>
      <c r="Q49" s="229">
        <v>0.3</v>
      </c>
      <c r="R49" s="230">
        <v>0.02</v>
      </c>
      <c r="S49" s="581" t="s">
        <v>195</v>
      </c>
      <c r="T49" s="67"/>
      <c r="U49" s="67"/>
      <c r="V49" s="66"/>
      <c r="W49" s="67"/>
      <c r="X49" s="67"/>
      <c r="Y49" s="212"/>
    </row>
    <row r="50" spans="1:25" s="54" customFormat="1" ht="16.5" thickBot="1" x14ac:dyDescent="0.25">
      <c r="A50" s="40"/>
      <c r="B50" s="402" t="s">
        <v>197</v>
      </c>
      <c r="C50" s="403"/>
      <c r="D50" s="404"/>
      <c r="E50" s="404"/>
      <c r="F50" s="404"/>
      <c r="G50" s="43">
        <f>SUM(G51:G55)</f>
        <v>65420408.310000002</v>
      </c>
      <c r="H50" s="44">
        <f t="shared" si="4"/>
        <v>8.3656149152517817E-2</v>
      </c>
      <c r="I50" s="98"/>
      <c r="J50" s="29"/>
      <c r="K50" s="45"/>
      <c r="L50" s="45"/>
      <c r="M50" s="148"/>
      <c r="N50" s="149"/>
      <c r="O50" s="41"/>
      <c r="P50" s="49"/>
      <c r="Q50" s="50"/>
      <c r="R50" s="49"/>
      <c r="S50" s="516"/>
      <c r="T50" s="53"/>
      <c r="U50" s="53"/>
      <c r="V50" s="53"/>
      <c r="W50" s="53"/>
      <c r="X50" s="53"/>
      <c r="Y50" s="53"/>
    </row>
    <row r="51" spans="1:25" s="1" customFormat="1" ht="15.75" x14ac:dyDescent="0.25">
      <c r="A51" s="8">
        <v>34</v>
      </c>
      <c r="B51" s="55" t="s">
        <v>107</v>
      </c>
      <c r="C51" s="231"/>
      <c r="D51" s="71" t="s">
        <v>108</v>
      </c>
      <c r="E51" s="140" t="s">
        <v>39</v>
      </c>
      <c r="F51" s="140" t="s">
        <v>49</v>
      </c>
      <c r="G51" s="538">
        <v>10220207.02</v>
      </c>
      <c r="H51" s="82">
        <f t="shared" si="4"/>
        <v>1.3069058798644628E-2</v>
      </c>
      <c r="I51" s="539">
        <v>1.17E-2</v>
      </c>
      <c r="J51" s="211"/>
      <c r="K51" s="178"/>
      <c r="L51" s="126" t="s">
        <v>95</v>
      </c>
      <c r="M51" s="527">
        <v>230802302.15000001</v>
      </c>
      <c r="N51" s="82">
        <f t="shared" ref="N51:N55" si="6">G51/M51</f>
        <v>4.4281217842263187E-2</v>
      </c>
      <c r="O51" s="659" t="s">
        <v>96</v>
      </c>
      <c r="P51" s="662">
        <f>(SUM(G51:G55)/G70)</f>
        <v>8.3656149152517817E-2</v>
      </c>
      <c r="Q51" s="655">
        <v>0.2</v>
      </c>
      <c r="R51" s="655">
        <v>0.15</v>
      </c>
      <c r="S51" s="666" t="s">
        <v>233</v>
      </c>
      <c r="T51" s="514"/>
      <c r="U51" s="67"/>
      <c r="V51" s="66"/>
      <c r="W51" s="67"/>
      <c r="X51" s="67"/>
      <c r="Y51" s="212"/>
    </row>
    <row r="52" spans="1:25" s="1" customFormat="1" ht="19.5" thickBot="1" x14ac:dyDescent="0.3">
      <c r="A52" s="8"/>
      <c r="B52" s="69" t="s">
        <v>113</v>
      </c>
      <c r="C52" s="70" t="s">
        <v>114</v>
      </c>
      <c r="D52" s="87" t="s">
        <v>115</v>
      </c>
      <c r="E52" s="223" t="s">
        <v>39</v>
      </c>
      <c r="F52" s="223" t="s">
        <v>49</v>
      </c>
      <c r="G52" s="529">
        <v>23515726.350000001</v>
      </c>
      <c r="H52" s="73">
        <f t="shared" si="4"/>
        <v>3.0070663907254869E-2</v>
      </c>
      <c r="I52" s="531">
        <v>4.4000000000000003E-3</v>
      </c>
      <c r="J52" s="211"/>
      <c r="K52" s="433"/>
      <c r="L52" s="126" t="s">
        <v>95</v>
      </c>
      <c r="M52" s="533">
        <v>207746443.83000001</v>
      </c>
      <c r="N52" s="435">
        <f t="shared" si="6"/>
        <v>0.11319436288037278</v>
      </c>
      <c r="O52" s="660"/>
      <c r="P52" s="663"/>
      <c r="Q52" s="665"/>
      <c r="R52" s="665"/>
      <c r="S52" s="667"/>
      <c r="T52" s="514"/>
      <c r="U52" s="67"/>
      <c r="V52" s="66"/>
      <c r="W52" s="67"/>
      <c r="X52" s="67"/>
      <c r="Y52" s="212"/>
    </row>
    <row r="53" spans="1:25" s="1" customFormat="1" ht="15.75" x14ac:dyDescent="0.25">
      <c r="A53" s="8"/>
      <c r="B53" s="55" t="s">
        <v>75</v>
      </c>
      <c r="C53" s="231"/>
      <c r="D53" s="71" t="s">
        <v>103</v>
      </c>
      <c r="E53" s="140" t="s">
        <v>104</v>
      </c>
      <c r="F53" s="432" t="s">
        <v>105</v>
      </c>
      <c r="G53" s="538">
        <v>21578325.66</v>
      </c>
      <c r="H53" s="73">
        <f t="shared" si="4"/>
        <v>2.7593218637839506E-2</v>
      </c>
      <c r="I53" s="539">
        <v>0.03</v>
      </c>
      <c r="J53" s="177"/>
      <c r="K53" s="178"/>
      <c r="L53" s="132" t="s">
        <v>95</v>
      </c>
      <c r="M53" s="542">
        <v>588053816.77999997</v>
      </c>
      <c r="N53" s="435">
        <f t="shared" si="6"/>
        <v>3.6694474288350355E-2</v>
      </c>
      <c r="O53" s="660"/>
      <c r="P53" s="663"/>
      <c r="Q53" s="665"/>
      <c r="R53" s="665"/>
      <c r="S53" s="667"/>
      <c r="T53" s="514"/>
      <c r="U53" s="67"/>
      <c r="V53" s="66"/>
      <c r="W53" s="67"/>
      <c r="X53" s="67"/>
      <c r="Y53" s="212"/>
    </row>
    <row r="54" spans="1:25" s="1" customFormat="1" ht="15.75" x14ac:dyDescent="0.25">
      <c r="A54" s="8"/>
      <c r="B54" s="55" t="s">
        <v>75</v>
      </c>
      <c r="C54" s="231"/>
      <c r="D54" s="71" t="s">
        <v>106</v>
      </c>
      <c r="E54" s="140" t="s">
        <v>39</v>
      </c>
      <c r="F54" s="140" t="s">
        <v>49</v>
      </c>
      <c r="G54" s="538">
        <v>2820368.69</v>
      </c>
      <c r="H54" s="550">
        <f t="shared" si="4"/>
        <v>3.606537927395753E-3</v>
      </c>
      <c r="I54" s="551">
        <v>1.29E-2</v>
      </c>
      <c r="J54" s="234"/>
      <c r="K54" s="235"/>
      <c r="L54" s="236" t="s">
        <v>95</v>
      </c>
      <c r="M54" s="533">
        <v>338055223.95999998</v>
      </c>
      <c r="N54" s="82">
        <f t="shared" si="6"/>
        <v>8.3429229608169495E-3</v>
      </c>
      <c r="O54" s="660"/>
      <c r="P54" s="663"/>
      <c r="Q54" s="665"/>
      <c r="R54" s="665"/>
      <c r="S54" s="667"/>
      <c r="T54" s="514"/>
      <c r="U54" s="67"/>
      <c r="V54" s="66"/>
      <c r="W54" s="67"/>
      <c r="X54" s="67"/>
      <c r="Y54" s="212"/>
    </row>
    <row r="55" spans="1:25" s="1" customFormat="1" ht="16.5" thickBot="1" x14ac:dyDescent="0.3">
      <c r="A55" s="8">
        <v>35</v>
      </c>
      <c r="B55" s="206" t="s">
        <v>50</v>
      </c>
      <c r="C55" s="118"/>
      <c r="D55" s="215" t="s">
        <v>109</v>
      </c>
      <c r="E55" s="120" t="s">
        <v>110</v>
      </c>
      <c r="F55" s="120" t="s">
        <v>111</v>
      </c>
      <c r="G55" s="525">
        <v>7285780.5899999999</v>
      </c>
      <c r="H55" s="73">
        <f t="shared" si="4"/>
        <v>9.3166698813830634E-3</v>
      </c>
      <c r="I55" s="526" t="s">
        <v>239</v>
      </c>
      <c r="J55" s="130"/>
      <c r="K55" s="232"/>
      <c r="L55" s="126" t="s">
        <v>112</v>
      </c>
      <c r="M55" s="527">
        <v>429147881.42000002</v>
      </c>
      <c r="N55" s="240">
        <f t="shared" si="6"/>
        <v>1.6977319253894965E-2</v>
      </c>
      <c r="O55" s="661"/>
      <c r="P55" s="664"/>
      <c r="Q55" s="656"/>
      <c r="R55" s="656"/>
      <c r="S55" s="668"/>
      <c r="T55" s="515"/>
      <c r="U55" s="67"/>
      <c r="V55" s="66"/>
      <c r="W55" s="67"/>
      <c r="X55" s="67"/>
      <c r="Y55" s="212"/>
    </row>
    <row r="56" spans="1:25" s="1" customFormat="1" ht="16.5" thickBot="1" x14ac:dyDescent="0.3">
      <c r="A56" s="8"/>
      <c r="B56" s="418" t="s">
        <v>200</v>
      </c>
      <c r="C56" s="406"/>
      <c r="D56" s="416"/>
      <c r="E56" s="410"/>
      <c r="F56" s="410"/>
      <c r="G56" s="426"/>
      <c r="H56" s="44"/>
      <c r="I56" s="44"/>
      <c r="J56" s="44"/>
      <c r="K56" s="378"/>
      <c r="L56" s="513"/>
      <c r="M56" s="507"/>
      <c r="N56" s="44"/>
      <c r="O56" s="369" t="s">
        <v>96</v>
      </c>
      <c r="P56" s="362">
        <v>0</v>
      </c>
      <c r="Q56" s="585">
        <v>0.2</v>
      </c>
      <c r="R56" s="582">
        <v>0</v>
      </c>
      <c r="S56" s="581" t="s">
        <v>198</v>
      </c>
      <c r="T56" s="67"/>
      <c r="U56" s="67"/>
      <c r="V56" s="66"/>
      <c r="W56" s="67"/>
      <c r="X56" s="67"/>
      <c r="Y56" s="212"/>
    </row>
    <row r="57" spans="1:25" s="54" customFormat="1" ht="16.5" thickBot="1" x14ac:dyDescent="0.25">
      <c r="A57" s="40"/>
      <c r="B57" s="418" t="s">
        <v>201</v>
      </c>
      <c r="C57" s="403"/>
      <c r="D57" s="404"/>
      <c r="E57" s="404"/>
      <c r="F57" s="404"/>
      <c r="G57" s="43">
        <f>G58+G59</f>
        <v>8722249.120000001</v>
      </c>
      <c r="H57" s="44">
        <f>G57/$G$70</f>
        <v>1.1153549667109032E-2</v>
      </c>
      <c r="I57" s="244"/>
      <c r="J57" s="45"/>
      <c r="K57" s="45"/>
      <c r="L57" s="45"/>
      <c r="M57" s="148"/>
      <c r="N57" s="149"/>
      <c r="O57" s="190"/>
      <c r="P57" s="191"/>
      <c r="Q57" s="583"/>
      <c r="R57" s="584"/>
      <c r="S57" s="220"/>
      <c r="T57" s="53"/>
      <c r="U57" s="53"/>
      <c r="V57" s="53"/>
      <c r="W57" s="53"/>
      <c r="X57" s="53"/>
      <c r="Y57" s="53"/>
    </row>
    <row r="58" spans="1:25" s="1" customFormat="1" ht="16.5" thickBot="1" x14ac:dyDescent="0.3">
      <c r="A58" s="8">
        <v>39</v>
      </c>
      <c r="B58" s="245" t="s">
        <v>116</v>
      </c>
      <c r="C58" s="92" t="s">
        <v>100</v>
      </c>
      <c r="D58" s="246" t="s">
        <v>117</v>
      </c>
      <c r="E58" s="120" t="s">
        <v>38</v>
      </c>
      <c r="F58" s="120" t="s">
        <v>39</v>
      </c>
      <c r="G58" s="525">
        <v>3364114.12</v>
      </c>
      <c r="H58" s="587">
        <f>G58/$G$70</f>
        <v>4.3018507505370113E-3</v>
      </c>
      <c r="I58" s="557">
        <v>-2.7663E-2</v>
      </c>
      <c r="J58" s="171"/>
      <c r="K58" s="247"/>
      <c r="L58" s="248" t="s">
        <v>118</v>
      </c>
      <c r="M58" s="558">
        <v>1200877159.3299999</v>
      </c>
      <c r="N58" s="156">
        <f t="shared" ref="N58" si="7">G58/M58</f>
        <v>2.8013807189712272E-3</v>
      </c>
      <c r="O58" s="669" t="s">
        <v>102</v>
      </c>
      <c r="P58" s="671">
        <f>SUM(G58:G59)/G70</f>
        <v>1.1153549667109032E-2</v>
      </c>
      <c r="Q58" s="673">
        <v>0.1</v>
      </c>
      <c r="R58" s="675">
        <v>0.03</v>
      </c>
      <c r="S58" s="666" t="s">
        <v>204</v>
      </c>
      <c r="T58" s="67"/>
      <c r="U58" s="67"/>
      <c r="V58" s="66"/>
      <c r="W58" s="67"/>
      <c r="X58" s="67"/>
      <c r="Y58" s="97"/>
    </row>
    <row r="59" spans="1:25" s="1" customFormat="1" ht="16.5" thickBot="1" x14ac:dyDescent="0.3">
      <c r="A59" s="8">
        <v>40</v>
      </c>
      <c r="B59" s="192" t="s">
        <v>107</v>
      </c>
      <c r="C59" s="231"/>
      <c r="D59" s="92" t="s">
        <v>119</v>
      </c>
      <c r="E59" s="140" t="s">
        <v>120</v>
      </c>
      <c r="F59" s="140" t="s">
        <v>120</v>
      </c>
      <c r="G59" s="560">
        <v>5358135</v>
      </c>
      <c r="H59" s="242">
        <f t="shared" ref="H59:H68" si="8">G59/$G$70</f>
        <v>6.8516989165720186E-3</v>
      </c>
      <c r="I59" s="555">
        <v>1.2999999999999999E-3</v>
      </c>
      <c r="J59" s="161"/>
      <c r="K59" s="204"/>
      <c r="L59" s="126" t="s">
        <v>95</v>
      </c>
      <c r="M59" s="570">
        <v>34817161.630000003</v>
      </c>
      <c r="N59" s="523">
        <f>G59/M59</f>
        <v>0.15389350392604073</v>
      </c>
      <c r="O59" s="670"/>
      <c r="P59" s="672"/>
      <c r="Q59" s="674"/>
      <c r="R59" s="676"/>
      <c r="S59" s="668"/>
      <c r="T59" s="67"/>
      <c r="U59" s="67"/>
      <c r="V59" s="66"/>
      <c r="W59" s="67"/>
      <c r="X59" s="67"/>
      <c r="Y59" s="97"/>
    </row>
    <row r="60" spans="1:25" s="1" customFormat="1" ht="16.5" thickBot="1" x14ac:dyDescent="0.3">
      <c r="A60" s="8"/>
      <c r="B60" s="418" t="s">
        <v>202</v>
      </c>
      <c r="C60" s="403"/>
      <c r="D60" s="404"/>
      <c r="E60" s="404"/>
      <c r="F60" s="404"/>
      <c r="G60" s="43">
        <f>SUM(G61:G63)</f>
        <v>15343438.01</v>
      </c>
      <c r="H60" s="44">
        <f t="shared" si="8"/>
        <v>1.9620374923290832E-2</v>
      </c>
      <c r="I60" s="98"/>
      <c r="J60" s="99"/>
      <c r="K60" s="99"/>
      <c r="L60" s="45"/>
      <c r="M60" s="100"/>
      <c r="N60" s="149"/>
      <c r="O60" s="42"/>
      <c r="P60" s="583"/>
      <c r="Q60" s="50"/>
      <c r="R60" s="151"/>
      <c r="S60" s="52"/>
      <c r="T60" s="67"/>
      <c r="U60" s="67"/>
      <c r="V60" s="66"/>
      <c r="W60" s="67"/>
      <c r="X60" s="67"/>
      <c r="Y60" s="97"/>
    </row>
    <row r="61" spans="1:25" s="1" customFormat="1" ht="15.75" x14ac:dyDescent="0.25">
      <c r="A61" s="8"/>
      <c r="B61" s="173" t="s">
        <v>123</v>
      </c>
      <c r="C61" s="261"/>
      <c r="D61" s="262" t="s">
        <v>124</v>
      </c>
      <c r="E61" s="107" t="s">
        <v>89</v>
      </c>
      <c r="F61" s="107" t="s">
        <v>89</v>
      </c>
      <c r="G61" s="537">
        <v>14022737.119999999</v>
      </c>
      <c r="H61" s="263">
        <f t="shared" si="8"/>
        <v>1.7931532656881213E-2</v>
      </c>
      <c r="I61" s="536">
        <v>-4.7399999999999997E-4</v>
      </c>
      <c r="J61" s="264"/>
      <c r="K61" s="265"/>
      <c r="L61" s="261" t="s">
        <v>80</v>
      </c>
      <c r="M61" s="535">
        <v>99561433.519999996</v>
      </c>
      <c r="N61" s="534">
        <f>G61/M61</f>
        <v>0.14084507046780417</v>
      </c>
      <c r="O61" s="659" t="s">
        <v>125</v>
      </c>
      <c r="P61" s="662">
        <f>SUM(G61:G63)/G70</f>
        <v>1.9620374923290832E-2</v>
      </c>
      <c r="Q61" s="708">
        <v>0.05</v>
      </c>
      <c r="R61" s="655">
        <v>0.03</v>
      </c>
      <c r="S61" s="657" t="s">
        <v>205</v>
      </c>
      <c r="T61" s="67"/>
      <c r="U61" s="67"/>
      <c r="V61" s="66"/>
      <c r="W61" s="67"/>
      <c r="X61" s="67"/>
      <c r="Y61" s="97"/>
    </row>
    <row r="62" spans="1:25" s="1" customFormat="1" ht="15.75" x14ac:dyDescent="0.25">
      <c r="A62" s="8"/>
      <c r="B62" s="266" t="s">
        <v>126</v>
      </c>
      <c r="C62" s="267"/>
      <c r="D62" s="268" t="s">
        <v>127</v>
      </c>
      <c r="E62" s="209" t="s">
        <v>89</v>
      </c>
      <c r="F62" s="209" t="s">
        <v>89</v>
      </c>
      <c r="G62" s="538">
        <v>463515.72</v>
      </c>
      <c r="H62" s="82">
        <f t="shared" si="8"/>
        <v>5.9271932426825733E-4</v>
      </c>
      <c r="I62" s="530">
        <v>-1.1999999999999999E-3</v>
      </c>
      <c r="J62" s="269"/>
      <c r="K62" s="270"/>
      <c r="L62" s="271" t="s">
        <v>80</v>
      </c>
      <c r="M62" s="547">
        <v>216123151.28999999</v>
      </c>
      <c r="N62" s="128">
        <f>G62/M62</f>
        <v>2.1446833309312699E-3</v>
      </c>
      <c r="O62" s="660"/>
      <c r="P62" s="663"/>
      <c r="Q62" s="709"/>
      <c r="R62" s="665"/>
      <c r="S62" s="677"/>
      <c r="T62" s="67"/>
      <c r="U62" s="67"/>
      <c r="V62" s="66"/>
      <c r="W62" s="67"/>
      <c r="X62" s="67"/>
      <c r="Y62" s="97"/>
    </row>
    <row r="63" spans="1:25" s="1" customFormat="1" ht="16.5" thickBot="1" x14ac:dyDescent="0.3">
      <c r="A63" s="8"/>
      <c r="B63" s="272" t="s">
        <v>128</v>
      </c>
      <c r="C63" s="261"/>
      <c r="D63" s="273" t="s">
        <v>129</v>
      </c>
      <c r="E63" s="181" t="s">
        <v>89</v>
      </c>
      <c r="F63" s="181" t="s">
        <v>89</v>
      </c>
      <c r="G63" s="560">
        <v>857185.17</v>
      </c>
      <c r="H63" s="95">
        <f t="shared" si="8"/>
        <v>1.096122942141361E-3</v>
      </c>
      <c r="I63" s="561">
        <v>5.6599999999999998E-2</v>
      </c>
      <c r="J63" s="274"/>
      <c r="K63" s="275"/>
      <c r="L63" s="276" t="s">
        <v>80</v>
      </c>
      <c r="M63" s="547">
        <v>201862699.61000001</v>
      </c>
      <c r="N63" s="199">
        <f>G63/M63</f>
        <v>4.2463772240046681E-3</v>
      </c>
      <c r="O63" s="661"/>
      <c r="P63" s="664"/>
      <c r="Q63" s="710"/>
      <c r="R63" s="656"/>
      <c r="S63" s="658"/>
      <c r="T63" s="67"/>
      <c r="U63" s="67"/>
      <c r="V63" s="66"/>
      <c r="W63" s="67"/>
      <c r="X63" s="67"/>
      <c r="Y63" s="97"/>
    </row>
    <row r="64" spans="1:25" s="54" customFormat="1" ht="16.5" thickBot="1" x14ac:dyDescent="0.25">
      <c r="A64" s="40"/>
      <c r="B64" s="418" t="s">
        <v>203</v>
      </c>
      <c r="C64" s="403"/>
      <c r="D64" s="404"/>
      <c r="E64" s="404"/>
      <c r="F64" s="404"/>
      <c r="G64" s="43">
        <f>SUM(G65:G66)</f>
        <v>15547051.539999999</v>
      </c>
      <c r="H64" s="44">
        <f t="shared" si="8"/>
        <v>1.9880745108607253E-2</v>
      </c>
      <c r="I64" s="98"/>
      <c r="J64" s="99"/>
      <c r="K64" s="45"/>
      <c r="L64" s="45"/>
      <c r="M64" s="148"/>
      <c r="N64" s="149"/>
      <c r="O64" s="42"/>
      <c r="P64" s="583"/>
      <c r="Q64" s="253"/>
      <c r="R64" s="254"/>
      <c r="S64" s="255"/>
      <c r="T64" s="53"/>
      <c r="U64" s="53"/>
      <c r="V64" s="53"/>
      <c r="W64" s="53"/>
      <c r="X64" s="53"/>
      <c r="Y64" s="53"/>
    </row>
    <row r="65" spans="1:25" s="54" customFormat="1" ht="16.5" customHeight="1" x14ac:dyDescent="0.25">
      <c r="A65" s="256">
        <v>41</v>
      </c>
      <c r="B65" s="104" t="s">
        <v>164</v>
      </c>
      <c r="C65" s="105"/>
      <c r="D65" s="153" t="s">
        <v>165</v>
      </c>
      <c r="E65" s="108" t="s">
        <v>89</v>
      </c>
      <c r="F65" s="108" t="s">
        <v>89</v>
      </c>
      <c r="G65" s="537">
        <v>5900000</v>
      </c>
      <c r="H65" s="258">
        <f t="shared" si="8"/>
        <v>7.5446071455412952E-3</v>
      </c>
      <c r="I65" s="564">
        <v>0</v>
      </c>
      <c r="J65" s="259"/>
      <c r="K65" s="113"/>
      <c r="L65" s="114" t="s">
        <v>71</v>
      </c>
      <c r="M65" s="591">
        <v>235426807.41</v>
      </c>
      <c r="N65" s="156">
        <f t="shared" ref="N65" si="9">G65/M65</f>
        <v>2.5060867387650738E-2</v>
      </c>
      <c r="O65" s="698" t="s">
        <v>207</v>
      </c>
      <c r="P65" s="662">
        <f>SUM(G65:G66)/G70</f>
        <v>1.9880745108607253E-2</v>
      </c>
      <c r="Q65" s="655">
        <v>0.05</v>
      </c>
      <c r="R65" s="655">
        <v>0.03</v>
      </c>
      <c r="S65" s="657" t="s">
        <v>206</v>
      </c>
      <c r="T65" s="53"/>
      <c r="U65" s="53"/>
      <c r="V65" s="53"/>
      <c r="W65" s="53"/>
      <c r="X65" s="53"/>
      <c r="Y65" s="53"/>
    </row>
    <row r="66" spans="1:25" s="1" customFormat="1" ht="16.5" thickBot="1" x14ac:dyDescent="0.3">
      <c r="A66" s="8">
        <v>42</v>
      </c>
      <c r="B66" s="192" t="s">
        <v>121</v>
      </c>
      <c r="C66" s="118"/>
      <c r="D66" s="92" t="s">
        <v>122</v>
      </c>
      <c r="E66" s="193" t="s">
        <v>89</v>
      </c>
      <c r="F66" s="193" t="s">
        <v>89</v>
      </c>
      <c r="G66" s="560">
        <v>9647051.5399999991</v>
      </c>
      <c r="H66" s="260">
        <f t="shared" si="8"/>
        <v>1.2336137963065957E-2</v>
      </c>
      <c r="I66" s="561">
        <v>4.5100000000000001E-2</v>
      </c>
      <c r="J66" s="161"/>
      <c r="K66" s="243"/>
      <c r="L66" s="184" t="s">
        <v>71</v>
      </c>
      <c r="M66" s="578">
        <v>138067375.53</v>
      </c>
      <c r="N66" s="524">
        <f>G66/M66</f>
        <v>6.9872057051622874E-2</v>
      </c>
      <c r="O66" s="700"/>
      <c r="P66" s="664"/>
      <c r="Q66" s="656"/>
      <c r="R66" s="656"/>
      <c r="S66" s="658"/>
      <c r="T66" s="67"/>
      <c r="U66" s="67"/>
      <c r="V66" s="66"/>
      <c r="W66" s="67"/>
      <c r="X66" s="66"/>
      <c r="Y66" s="68"/>
    </row>
    <row r="67" spans="1:25" s="1" customFormat="1" ht="12" customHeight="1" thickBot="1" x14ac:dyDescent="0.3">
      <c r="A67" s="217"/>
      <c r="B67" s="218" t="s">
        <v>130</v>
      </c>
      <c r="C67" s="41"/>
      <c r="D67" s="42"/>
      <c r="E67" s="277"/>
      <c r="F67" s="277"/>
      <c r="G67" s="278">
        <f>SUM(G68:G69)</f>
        <v>6062.43</v>
      </c>
      <c r="H67" s="279">
        <f t="shared" si="8"/>
        <v>7.7523140164989688E-6</v>
      </c>
      <c r="I67" s="280"/>
      <c r="J67" s="281"/>
      <c r="K67" s="281"/>
      <c r="L67" s="281"/>
      <c r="M67" s="282"/>
      <c r="N67" s="149"/>
      <c r="O67" s="283"/>
      <c r="P67" s="284">
        <f>SUM((G45+G48+G50+G57+G64)/G70)*100</f>
        <v>18.907469407461772</v>
      </c>
      <c r="Q67" s="285"/>
      <c r="R67" s="286">
        <f>SUM(P45+P67+P68+P69)/100</f>
        <v>0.98037195028583302</v>
      </c>
      <c r="S67" s="52"/>
      <c r="T67" s="261"/>
      <c r="U67" s="261"/>
      <c r="V67" s="261"/>
      <c r="W67" s="261"/>
      <c r="X67" s="261"/>
    </row>
    <row r="68" spans="1:25" s="1" customFormat="1" ht="15.75" x14ac:dyDescent="0.25">
      <c r="A68" s="217">
        <v>46</v>
      </c>
      <c r="B68" s="287" t="s">
        <v>131</v>
      </c>
      <c r="C68" s="288"/>
      <c r="D68" s="289"/>
      <c r="E68" s="290"/>
      <c r="F68" s="291"/>
      <c r="G68" s="292">
        <v>5801.1</v>
      </c>
      <c r="H68" s="233">
        <f t="shared" si="8"/>
        <v>7.4181390698304425E-6</v>
      </c>
      <c r="I68" s="165">
        <v>0</v>
      </c>
      <c r="J68" s="293"/>
      <c r="K68" s="294"/>
      <c r="L68" s="295"/>
      <c r="M68" s="296"/>
      <c r="N68" s="297"/>
      <c r="O68" s="704" t="s">
        <v>132</v>
      </c>
      <c r="P68" s="706">
        <f>(G68+G69)/G70</f>
        <v>7.7523140164989688E-6</v>
      </c>
      <c r="Q68" s="298"/>
      <c r="R68" s="299"/>
      <c r="S68" s="291"/>
      <c r="T68" s="261"/>
      <c r="U68" s="261"/>
      <c r="V68" s="261"/>
      <c r="W68" s="261"/>
      <c r="X68" s="261"/>
    </row>
    <row r="69" spans="1:25" s="261" customFormat="1" ht="15.75" x14ac:dyDescent="0.25">
      <c r="A69" s="8">
        <v>47</v>
      </c>
      <c r="B69" s="300" t="s">
        <v>133</v>
      </c>
      <c r="C69" s="301"/>
      <c r="D69" s="302"/>
      <c r="E69" s="303"/>
      <c r="F69" s="301"/>
      <c r="G69" s="59">
        <v>261.33</v>
      </c>
      <c r="H69" s="304">
        <v>9.5999999999999992E-3</v>
      </c>
      <c r="I69" s="74">
        <v>0</v>
      </c>
      <c r="J69" s="305"/>
      <c r="K69" s="306"/>
      <c r="L69" s="307"/>
      <c r="M69" s="308"/>
      <c r="N69" s="309"/>
      <c r="O69" s="705"/>
      <c r="P69" s="707"/>
      <c r="Q69" s="310"/>
      <c r="R69" s="311"/>
      <c r="S69" s="303"/>
      <c r="T69" s="312"/>
      <c r="V69" s="313"/>
      <c r="Y69" s="1"/>
    </row>
    <row r="70" spans="1:25" s="261" customFormat="1" ht="16.5" thickBot="1" x14ac:dyDescent="0.3">
      <c r="A70" s="8"/>
      <c r="B70" s="314" t="s">
        <v>134</v>
      </c>
      <c r="C70" s="315"/>
      <c r="D70" s="316"/>
      <c r="E70" s="317"/>
      <c r="F70" s="317"/>
      <c r="G70" s="318">
        <f>G4+G11+G22+G24+G39+G45+G48+G50+G57+G60+G64+G67</f>
        <v>782015535.8900001</v>
      </c>
      <c r="H70" s="319">
        <f>G70/$G$70</f>
        <v>1</v>
      </c>
      <c r="I70" s="320"/>
      <c r="J70" s="321"/>
      <c r="K70" s="322"/>
      <c r="L70" s="323"/>
      <c r="M70" s="324"/>
      <c r="N70" s="325"/>
      <c r="O70" s="326"/>
      <c r="P70" s="327">
        <f>P5+P12+P20+P21+P23+P25+P35+P36+P37+P38+P40+P43+P44+P46+P49+P51+P56+P58+P61+P65+P68</f>
        <v>0.99999999999999989</v>
      </c>
      <c r="Q70" s="328"/>
      <c r="R70" s="329"/>
      <c r="S70" s="330"/>
      <c r="T70" s="312"/>
      <c r="V70" s="313"/>
      <c r="Y70" s="1"/>
    </row>
    <row r="71" spans="1:25" s="261" customFormat="1" x14ac:dyDescent="0.25">
      <c r="A71" s="1"/>
      <c r="B71" s="331" t="s">
        <v>240</v>
      </c>
      <c r="C71" s="331"/>
      <c r="D71" s="332"/>
      <c r="E71" s="332">
        <v>5.5999999999999999E-3</v>
      </c>
      <c r="F71" s="332"/>
      <c r="G71" s="331" t="s">
        <v>135</v>
      </c>
      <c r="H71" s="333">
        <v>5.1999999999999998E-3</v>
      </c>
      <c r="I71" s="334"/>
      <c r="J71" s="331" t="s">
        <v>136</v>
      </c>
      <c r="K71" s="333">
        <v>1.15E-2</v>
      </c>
      <c r="L71" s="334"/>
      <c r="M71" s="335" t="s">
        <v>137</v>
      </c>
      <c r="N71" s="333">
        <v>1.1023E-2</v>
      </c>
      <c r="O71" s="1"/>
      <c r="P71" s="333" t="s">
        <v>138</v>
      </c>
      <c r="Q71" s="1"/>
      <c r="R71" s="333"/>
      <c r="S71" s="336">
        <v>4.9299999999999997E-2</v>
      </c>
      <c r="Y71" s="1"/>
    </row>
    <row r="72" spans="1:25" s="261" customFormat="1" x14ac:dyDescent="0.25">
      <c r="A72" s="1"/>
      <c r="B72" s="331" t="s">
        <v>139</v>
      </c>
      <c r="C72" s="337"/>
      <c r="D72" s="331"/>
      <c r="E72" s="338">
        <v>1.0500000000000001E-2</v>
      </c>
      <c r="F72" s="333"/>
      <c r="G72" s="331" t="s">
        <v>140</v>
      </c>
      <c r="H72" s="333">
        <v>4.1999999999999997E-3</v>
      </c>
      <c r="I72" s="331"/>
      <c r="J72" s="331" t="s">
        <v>141</v>
      </c>
      <c r="K72" s="333">
        <v>5.4860000000000004E-3</v>
      </c>
      <c r="L72" s="333"/>
      <c r="M72" s="335" t="s">
        <v>142</v>
      </c>
      <c r="N72" s="333">
        <v>5.4099999999999999E-3</v>
      </c>
      <c r="O72" s="1"/>
      <c r="P72" s="339" t="s">
        <v>143</v>
      </c>
      <c r="Q72" s="1"/>
      <c r="R72" s="1"/>
      <c r="S72" s="336">
        <v>1.9099999999999999E-2</v>
      </c>
      <c r="Y72" s="1"/>
    </row>
    <row r="73" spans="1:25" s="261" customFormat="1" x14ac:dyDescent="0.25">
      <c r="A73" s="1"/>
      <c r="B73" s="331" t="s">
        <v>144</v>
      </c>
      <c r="C73" s="1"/>
      <c r="D73" s="333"/>
      <c r="E73" s="333">
        <v>1.8E-3</v>
      </c>
      <c r="F73" s="333"/>
      <c r="G73" s="331" t="s">
        <v>145</v>
      </c>
      <c r="H73" s="333">
        <v>4.3E-3</v>
      </c>
      <c r="I73" s="331"/>
      <c r="J73" s="331" t="s">
        <v>146</v>
      </c>
      <c r="K73" s="333">
        <v>7.1640000000000002E-3</v>
      </c>
      <c r="L73" s="333"/>
      <c r="M73" s="335" t="s">
        <v>147</v>
      </c>
      <c r="N73" s="333">
        <v>1.315E-2</v>
      </c>
      <c r="O73" s="333"/>
      <c r="P73" s="339" t="s">
        <v>148</v>
      </c>
      <c r="Q73" s="1"/>
      <c r="R73" s="1"/>
      <c r="S73" s="336">
        <v>0.14749999999999999</v>
      </c>
      <c r="T73" s="340"/>
      <c r="Y73" s="1"/>
    </row>
    <row r="74" spans="1:25" s="261" customFormat="1" x14ac:dyDescent="0.25">
      <c r="A74" s="1"/>
      <c r="B74" s="331" t="s">
        <v>118</v>
      </c>
      <c r="C74" s="333"/>
      <c r="D74" s="333"/>
      <c r="E74" s="341">
        <v>4.5999999999999999E-3</v>
      </c>
      <c r="F74" s="341"/>
      <c r="G74" s="331" t="s">
        <v>149</v>
      </c>
      <c r="H74" s="333">
        <v>-3.7000000000000002E-3</v>
      </c>
      <c r="I74" s="331"/>
      <c r="J74" s="331" t="s">
        <v>150</v>
      </c>
      <c r="K74" s="333">
        <v>5.3920000000000001E-3</v>
      </c>
      <c r="L74" s="333"/>
      <c r="M74" s="335" t="s">
        <v>151</v>
      </c>
      <c r="N74" s="333">
        <v>5.2880000000000002E-3</v>
      </c>
      <c r="O74" s="333"/>
      <c r="P74" s="339" t="s">
        <v>152</v>
      </c>
      <c r="Q74" s="1"/>
      <c r="R74" s="1"/>
      <c r="S74" s="336">
        <v>7.5600000000000001E-2</v>
      </c>
      <c r="Y74" s="1"/>
    </row>
    <row r="75" spans="1:25" s="261" customFormat="1" x14ac:dyDescent="0.25">
      <c r="A75" s="1"/>
      <c r="B75" s="331" t="s">
        <v>80</v>
      </c>
      <c r="C75" s="1"/>
      <c r="D75" s="333"/>
      <c r="E75" s="341">
        <v>3.2000000000000002E-3</v>
      </c>
      <c r="F75" s="341"/>
      <c r="G75" s="331" t="s">
        <v>112</v>
      </c>
      <c r="H75" s="333">
        <v>-6.1000000000000004E-3</v>
      </c>
      <c r="I75" s="1"/>
      <c r="J75" s="331" t="s">
        <v>153</v>
      </c>
      <c r="K75" s="333">
        <v>5.5659999999999998E-3</v>
      </c>
      <c r="L75" s="1"/>
      <c r="M75" s="335" t="s">
        <v>154</v>
      </c>
      <c r="N75" s="333">
        <v>4.5820000000000001E-3</v>
      </c>
      <c r="O75" s="333"/>
      <c r="P75" s="339"/>
      <c r="Q75" s="1"/>
      <c r="R75" s="1"/>
      <c r="S75" s="342">
        <f>'[1]FFPREV Março 2018'!$G$47</f>
        <v>247975159.66</v>
      </c>
      <c r="T75" s="343"/>
      <c r="Y75" s="1"/>
    </row>
    <row r="76" spans="1:25" s="261" customFormat="1" x14ac:dyDescent="0.25">
      <c r="A76" s="1"/>
      <c r="B76" s="1"/>
      <c r="C76" s="1"/>
      <c r="D76" s="1"/>
      <c r="E76" s="1"/>
      <c r="F76" s="1"/>
      <c r="G76" s="331"/>
      <c r="H76" s="333" t="s">
        <v>155</v>
      </c>
      <c r="I76" s="1"/>
      <c r="J76" s="331"/>
      <c r="K76" s="333"/>
      <c r="L76" s="1"/>
      <c r="M76" s="335"/>
      <c r="N76" s="344"/>
      <c r="O76" s="333"/>
      <c r="P76" s="1"/>
      <c r="Q76" s="1"/>
      <c r="R76" s="1"/>
      <c r="S76" s="345">
        <f>G70</f>
        <v>782015535.8900001</v>
      </c>
      <c r="Y76" s="1"/>
    </row>
    <row r="77" spans="1:25" s="1" customFormat="1" x14ac:dyDescent="0.25">
      <c r="D77" t="s">
        <v>156</v>
      </c>
      <c r="G77" s="346">
        <f>S77</f>
        <v>1029990695.5500001</v>
      </c>
      <c r="H77" s="333"/>
      <c r="J77" s="331"/>
      <c r="K77" s="333"/>
      <c r="M77" s="347"/>
      <c r="N77" s="344"/>
      <c r="O77" s="333"/>
      <c r="S77" s="348">
        <f>S75+S76</f>
        <v>1029990695.5500001</v>
      </c>
      <c r="T77" s="261"/>
      <c r="U77" s="261"/>
      <c r="V77" s="261"/>
      <c r="W77" s="261"/>
      <c r="X77" s="261"/>
    </row>
    <row r="78" spans="1:25" s="7" customFormat="1" x14ac:dyDescent="0.25">
      <c r="A78"/>
      <c r="B78"/>
      <c r="C78"/>
      <c r="D78"/>
      <c r="E78"/>
      <c r="F78"/>
      <c r="G78" s="590"/>
      <c r="H78" s="350"/>
      <c r="I78" s="1"/>
      <c r="J78" s="351"/>
      <c r="K78" s="350"/>
      <c r="L78"/>
      <c r="M78" s="347"/>
      <c r="N78" s="353"/>
      <c r="O78"/>
      <c r="P78"/>
      <c r="Q78"/>
      <c r="R78"/>
      <c r="S78" s="348"/>
      <c r="Y78"/>
    </row>
    <row r="79" spans="1:25" s="7" customFormat="1" x14ac:dyDescent="0.25">
      <c r="A79"/>
      <c r="B79" s="331"/>
      <c r="C79" s="331"/>
      <c r="D79" s="331"/>
      <c r="E79" s="332"/>
      <c r="F79" s="332"/>
      <c r="G79" s="592"/>
      <c r="H79" s="353"/>
      <c r="I79" s="1"/>
      <c r="J79"/>
      <c r="K79"/>
      <c r="L79"/>
      <c r="M79" s="347"/>
      <c r="N79" s="353"/>
      <c r="O79"/>
      <c r="P79"/>
      <c r="Q79"/>
      <c r="R79"/>
      <c r="S79"/>
      <c r="Y79"/>
    </row>
    <row r="80" spans="1:25" s="7" customFormat="1" x14ac:dyDescent="0.25">
      <c r="A80"/>
      <c r="B80" s="331"/>
      <c r="C80" s="331"/>
      <c r="D80" s="331"/>
      <c r="E80" s="333"/>
      <c r="F80" s="333"/>
      <c r="G80" s="354"/>
      <c r="H80" s="353"/>
      <c r="I80" s="1"/>
      <c r="J80"/>
      <c r="K80"/>
      <c r="L80"/>
      <c r="M80" s="347"/>
      <c r="N80" s="353"/>
      <c r="O80"/>
      <c r="P80"/>
      <c r="Q80"/>
      <c r="R80"/>
      <c r="S80"/>
      <c r="Y80"/>
    </row>
    <row r="81" spans="1:25" s="7" customFormat="1" x14ac:dyDescent="0.25">
      <c r="A81"/>
      <c r="B81" s="331"/>
      <c r="C81" s="1"/>
      <c r="D81" s="333"/>
      <c r="E81" s="333"/>
      <c r="F81" s="333"/>
      <c r="G81" s="349"/>
      <c r="H81" s="353"/>
      <c r="I81" s="1"/>
      <c r="J81"/>
      <c r="K81"/>
      <c r="L81"/>
      <c r="M81" s="347"/>
      <c r="N81" s="353"/>
      <c r="O81"/>
      <c r="P81"/>
      <c r="Q81"/>
      <c r="R81"/>
      <c r="S81"/>
      <c r="Y81"/>
    </row>
    <row r="82" spans="1:25" s="7" customFormat="1" x14ac:dyDescent="0.25">
      <c r="A82"/>
      <c r="B82" s="331"/>
      <c r="C82" s="333"/>
      <c r="D82" s="333"/>
      <c r="E82" s="339"/>
      <c r="F82" s="339"/>
      <c r="G82" s="349"/>
      <c r="H82" s="353"/>
      <c r="I82" s="1"/>
      <c r="J82"/>
      <c r="K82"/>
      <c r="L82"/>
      <c r="M82" s="347" t="s">
        <v>157</v>
      </c>
      <c r="N82" s="353"/>
      <c r="O82"/>
      <c r="P82"/>
      <c r="Q82"/>
      <c r="R82"/>
      <c r="S82"/>
      <c r="Y82"/>
    </row>
    <row r="83" spans="1:25" s="7" customFormat="1" x14ac:dyDescent="0.25">
      <c r="A83"/>
      <c r="B83" s="331" t="s">
        <v>60</v>
      </c>
      <c r="C83" s="1"/>
      <c r="D83" s="333" t="s">
        <v>158</v>
      </c>
      <c r="E83" s="355">
        <v>1.1900000000000001E-2</v>
      </c>
      <c r="F83" s="1"/>
      <c r="G83" s="349">
        <f>G4+G11+G20+G21+G22+G23+G24+G35+G36+G37+G38+G39+G43+G44</f>
        <v>618806687.24000013</v>
      </c>
      <c r="H83" s="353">
        <f>G83/G86</f>
        <v>0.79129717868807503</v>
      </c>
      <c r="I83" s="1"/>
      <c r="J83" t="s">
        <v>60</v>
      </c>
      <c r="K83"/>
      <c r="L83"/>
      <c r="M83" s="586">
        <f>'[3]Consolidado fevereiro 2018'!$G$112</f>
        <v>838658112.35000002</v>
      </c>
      <c r="N83" s="353">
        <f>M83/M86</f>
        <v>0.81890513514275298</v>
      </c>
      <c r="O83"/>
      <c r="P83"/>
      <c r="Q83"/>
      <c r="R83"/>
      <c r="S83"/>
      <c r="Y83"/>
    </row>
    <row r="84" spans="1:25" s="7" customFormat="1" x14ac:dyDescent="0.25">
      <c r="A84"/>
      <c r="B84" t="s">
        <v>96</v>
      </c>
      <c r="C84"/>
      <c r="D84" s="333" t="s">
        <v>158</v>
      </c>
      <c r="E84" s="355">
        <v>5.1000000000000004E-3</v>
      </c>
      <c r="F84"/>
      <c r="G84" s="349">
        <f>G45+G48+G50+G56+G57+G60+G64</f>
        <v>163202786.22</v>
      </c>
      <c r="H84" s="353">
        <f>G84/G86</f>
        <v>0.20869506899790854</v>
      </c>
      <c r="I84" s="1"/>
      <c r="J84" t="s">
        <v>96</v>
      </c>
      <c r="K84"/>
      <c r="L84"/>
      <c r="M84" s="586">
        <f>'[3]Consolidado fevereiro 2018'!$G$105</f>
        <v>184803995.55999997</v>
      </c>
      <c r="N84" s="353">
        <f>M84/M86</f>
        <v>0.18045129323905537</v>
      </c>
      <c r="O84"/>
      <c r="P84"/>
      <c r="Q84"/>
      <c r="R84"/>
      <c r="S84"/>
      <c r="Y84"/>
    </row>
    <row r="85" spans="1:25" s="7" customFormat="1" x14ac:dyDescent="0.25">
      <c r="A85"/>
      <c r="B85" t="s">
        <v>159</v>
      </c>
      <c r="C85"/>
      <c r="D85"/>
      <c r="E85" s="357"/>
      <c r="F85"/>
      <c r="G85" s="349">
        <f>G67</f>
        <v>6062.43</v>
      </c>
      <c r="H85" s="353">
        <f>G85/G86</f>
        <v>7.7523140164989688E-6</v>
      </c>
      <c r="I85" s="1"/>
      <c r="J85" t="s">
        <v>160</v>
      </c>
      <c r="K85"/>
      <c r="L85"/>
      <c r="M85" s="586">
        <f>'[3]Consolidado fevereiro 2018'!$M$106</f>
        <v>659095.34000000008</v>
      </c>
      <c r="N85" s="353">
        <f>M85/M86</f>
        <v>6.4357161819166746E-4</v>
      </c>
      <c r="O85"/>
      <c r="P85"/>
      <c r="Q85"/>
      <c r="R85"/>
      <c r="S85"/>
      <c r="Y85"/>
    </row>
    <row r="86" spans="1:25" s="7" customFormat="1" x14ac:dyDescent="0.25">
      <c r="A86"/>
      <c r="B86"/>
      <c r="C86"/>
      <c r="D86"/>
      <c r="E86" s="355">
        <v>1.0500000000000001E-2</v>
      </c>
      <c r="F86"/>
      <c r="G86" s="349">
        <f>G83+G84+G85</f>
        <v>782015535.8900001</v>
      </c>
      <c r="H86" s="353">
        <f>SUM(H83:H85)</f>
        <v>1</v>
      </c>
      <c r="I86" s="1"/>
      <c r="J86" s="7" t="s">
        <v>161</v>
      </c>
      <c r="M86" s="586">
        <f>M83+M84+M85</f>
        <v>1024121203.25</v>
      </c>
      <c r="N86" s="353">
        <f>N83+N84+N85</f>
        <v>1</v>
      </c>
      <c r="O86"/>
      <c r="P86"/>
      <c r="Q86"/>
      <c r="R86"/>
      <c r="S86"/>
      <c r="Y86"/>
    </row>
    <row r="87" spans="1:25" s="7" customFormat="1" x14ac:dyDescent="0.25">
      <c r="A87"/>
      <c r="B87"/>
      <c r="C87"/>
      <c r="D87"/>
      <c r="E87" s="358"/>
      <c r="F87"/>
      <c r="G87" s="1"/>
      <c r="H87" s="353"/>
      <c r="I87" s="1"/>
      <c r="J87"/>
      <c r="K87"/>
      <c r="L87"/>
      <c r="M87" s="347"/>
      <c r="N87" s="353"/>
      <c r="O87"/>
      <c r="P87"/>
      <c r="Q87"/>
      <c r="R87"/>
      <c r="S87"/>
      <c r="Y87"/>
    </row>
    <row r="88" spans="1:25" s="7" customFormat="1" x14ac:dyDescent="0.25">
      <c r="A88"/>
      <c r="B88"/>
      <c r="C88"/>
      <c r="D88"/>
      <c r="E88"/>
      <c r="F88"/>
      <c r="G88" s="1"/>
      <c r="H88" s="353"/>
      <c r="I88" s="1"/>
      <c r="J88"/>
      <c r="K88"/>
      <c r="L88"/>
      <c r="M88" s="347"/>
      <c r="N88" s="353"/>
      <c r="O88"/>
      <c r="P88"/>
      <c r="Q88"/>
      <c r="R88"/>
      <c r="S88"/>
      <c r="Y88"/>
    </row>
    <row r="89" spans="1:25" s="7" customFormat="1" x14ac:dyDescent="0.25">
      <c r="A89"/>
      <c r="B89"/>
      <c r="C89"/>
      <c r="D89"/>
      <c r="E89"/>
      <c r="F89"/>
      <c r="G89" s="1"/>
      <c r="H89" s="353"/>
      <c r="I89" s="1"/>
      <c r="J89"/>
      <c r="K89"/>
      <c r="L89"/>
      <c r="M89" s="347"/>
      <c r="N89" s="353"/>
      <c r="O89"/>
      <c r="P89"/>
      <c r="Q89"/>
      <c r="R89"/>
      <c r="S89"/>
      <c r="Y89"/>
    </row>
  </sheetData>
  <mergeCells count="48">
    <mergeCell ref="S5:S10"/>
    <mergeCell ref="P3:R3"/>
    <mergeCell ref="O5:O10"/>
    <mergeCell ref="P5:P10"/>
    <mergeCell ref="Q5:Q10"/>
    <mergeCell ref="R5:R10"/>
    <mergeCell ref="O25:O34"/>
    <mergeCell ref="P25:P34"/>
    <mergeCell ref="Q25:Q34"/>
    <mergeCell ref="R25:R34"/>
    <mergeCell ref="S25:S34"/>
    <mergeCell ref="O12:O19"/>
    <mergeCell ref="P12:P19"/>
    <mergeCell ref="Q12:Q19"/>
    <mergeCell ref="R12:R19"/>
    <mergeCell ref="S12:S19"/>
    <mergeCell ref="O46:O47"/>
    <mergeCell ref="P46:P47"/>
    <mergeCell ref="Q46:Q47"/>
    <mergeCell ref="R46:R47"/>
    <mergeCell ref="S46:S47"/>
    <mergeCell ref="O40:O42"/>
    <mergeCell ref="P40:P42"/>
    <mergeCell ref="Q40:Q42"/>
    <mergeCell ref="R40:R42"/>
    <mergeCell ref="S40:S42"/>
    <mergeCell ref="O58:O59"/>
    <mergeCell ref="P58:P59"/>
    <mergeCell ref="Q58:Q59"/>
    <mergeCell ref="R58:R59"/>
    <mergeCell ref="S58:S59"/>
    <mergeCell ref="O51:O55"/>
    <mergeCell ref="P51:P55"/>
    <mergeCell ref="Q51:Q55"/>
    <mergeCell ref="R51:R55"/>
    <mergeCell ref="S51:S55"/>
    <mergeCell ref="R61:R63"/>
    <mergeCell ref="S61:S63"/>
    <mergeCell ref="O65:O66"/>
    <mergeCell ref="P65:P66"/>
    <mergeCell ref="Q65:Q66"/>
    <mergeCell ref="R65:R66"/>
    <mergeCell ref="S65:S66"/>
    <mergeCell ref="O68:O69"/>
    <mergeCell ref="P68:P69"/>
    <mergeCell ref="O61:O63"/>
    <mergeCell ref="P61:P63"/>
    <mergeCell ref="Q61:Q63"/>
  </mergeCells>
  <printOptions horizontalCentered="1"/>
  <pageMargins left="0" right="0" top="0" bottom="0" header="0.19685039370078741" footer="0.39370078740157483"/>
  <pageSetup paperSize="9" scale="4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topLeftCell="A27" zoomScaleNormal="100" workbookViewId="0">
      <selection activeCell="M66" sqref="M66:M67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3.42578125" style="1" bestFit="1" customWidth="1"/>
    <col min="8" max="8" width="11.5703125" style="344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4" style="347" bestFit="1" customWidth="1"/>
    <col min="14" max="14" width="8.140625" style="353" bestFit="1" customWidth="1"/>
    <col min="15" max="15" width="13.5703125" customWidth="1"/>
    <col min="16" max="16" width="6.85546875" customWidth="1"/>
    <col min="17" max="17" width="5.5703125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241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685" t="s">
        <v>18</v>
      </c>
      <c r="Q3" s="686"/>
      <c r="R3" s="687"/>
      <c r="S3" s="38" t="s">
        <v>19</v>
      </c>
      <c r="T3" s="39"/>
      <c r="U3" s="39"/>
      <c r="V3" s="39"/>
      <c r="W3" s="39"/>
      <c r="X3" s="39"/>
      <c r="Y3" s="39"/>
    </row>
    <row r="4" spans="1:25" s="54" customFormat="1" ht="12" customHeight="1" thickBot="1" x14ac:dyDescent="0.25">
      <c r="A4" s="40"/>
      <c r="B4" s="402" t="s">
        <v>166</v>
      </c>
      <c r="C4" s="403"/>
      <c r="D4" s="404"/>
      <c r="E4" s="404"/>
      <c r="F4" s="404"/>
      <c r="G4" s="43">
        <f>SUM(G5:G10)</f>
        <v>125443802.80000001</v>
      </c>
      <c r="H4" s="44">
        <f t="shared" ref="H4:H19" si="0">G4/$G$71</f>
        <v>0.15951937036733194</v>
      </c>
      <c r="I4" s="45"/>
      <c r="J4" s="45"/>
      <c r="K4" s="45"/>
      <c r="L4" s="45"/>
      <c r="M4" s="46"/>
      <c r="N4" s="47"/>
      <c r="O4" s="48"/>
      <c r="P4" s="49"/>
      <c r="Q4" s="50"/>
      <c r="R4" s="596"/>
      <c r="S4" s="52"/>
      <c r="T4" s="53"/>
      <c r="U4" s="53"/>
      <c r="V4" s="53"/>
      <c r="W4" s="53"/>
      <c r="X4" s="53"/>
      <c r="Y4" s="53"/>
    </row>
    <row r="5" spans="1:25" s="1" customFormat="1" ht="16.5" customHeight="1" x14ac:dyDescent="0.25">
      <c r="A5" s="8">
        <v>1</v>
      </c>
      <c r="B5" s="55" t="s">
        <v>21</v>
      </c>
      <c r="C5" s="56" t="s">
        <v>22</v>
      </c>
      <c r="D5" s="57" t="s">
        <v>23</v>
      </c>
      <c r="E5" s="58"/>
      <c r="F5" s="58"/>
      <c r="G5" s="538">
        <v>26214307.469999999</v>
      </c>
      <c r="H5" s="60">
        <f t="shared" si="0"/>
        <v>3.3335164662514884E-2</v>
      </c>
      <c r="I5" s="562">
        <v>4.1000000000000003E-3</v>
      </c>
      <c r="J5" s="62" t="s">
        <v>24</v>
      </c>
      <c r="K5" s="62"/>
      <c r="L5" s="63"/>
      <c r="M5" s="64">
        <v>0</v>
      </c>
      <c r="N5" s="65"/>
      <c r="O5" s="688" t="s">
        <v>20</v>
      </c>
      <c r="P5" s="691">
        <f>SUM(G5:G10)/G71</f>
        <v>0.15951937036733194</v>
      </c>
      <c r="Q5" s="694">
        <v>1</v>
      </c>
      <c r="R5" s="675">
        <v>0.4</v>
      </c>
      <c r="S5" s="682" t="s">
        <v>175</v>
      </c>
      <c r="T5" s="66"/>
      <c r="U5" s="67"/>
      <c r="V5" s="66"/>
      <c r="W5" s="66"/>
      <c r="X5" s="66"/>
      <c r="Y5" s="68"/>
    </row>
    <row r="6" spans="1:25" s="1" customFormat="1" ht="16.5" thickBot="1" x14ac:dyDescent="0.3">
      <c r="A6" s="8">
        <v>2</v>
      </c>
      <c r="B6" s="69" t="s">
        <v>21</v>
      </c>
      <c r="C6" s="70" t="s">
        <v>22</v>
      </c>
      <c r="D6" s="71" t="s">
        <v>25</v>
      </c>
      <c r="E6" s="71"/>
      <c r="F6" s="72"/>
      <c r="G6" s="538">
        <v>11648026.32</v>
      </c>
      <c r="H6" s="73">
        <f t="shared" si="0"/>
        <v>1.481209739432828E-2</v>
      </c>
      <c r="I6" s="531">
        <v>6.6E-3</v>
      </c>
      <c r="J6" s="75" t="s">
        <v>26</v>
      </c>
      <c r="K6" s="76"/>
      <c r="L6" s="77"/>
      <c r="M6" s="78"/>
      <c r="N6" s="79"/>
      <c r="O6" s="689"/>
      <c r="P6" s="692"/>
      <c r="Q6" s="695"/>
      <c r="R6" s="697"/>
      <c r="S6" s="683"/>
      <c r="T6" s="66"/>
      <c r="U6" s="67"/>
      <c r="V6" s="66"/>
      <c r="W6" s="66"/>
      <c r="X6" s="66"/>
      <c r="Y6" s="68"/>
    </row>
    <row r="7" spans="1:25" s="1" customFormat="1" ht="15.75" x14ac:dyDescent="0.25">
      <c r="A7" s="8">
        <v>3</v>
      </c>
      <c r="B7" s="55" t="s">
        <v>21</v>
      </c>
      <c r="C7" s="56" t="s">
        <v>22</v>
      </c>
      <c r="D7" s="57" t="s">
        <v>27</v>
      </c>
      <c r="E7" s="80"/>
      <c r="F7" s="71"/>
      <c r="G7" s="588">
        <v>25645558.32</v>
      </c>
      <c r="H7" s="82">
        <f t="shared" si="0"/>
        <v>3.2611920434582768E-2</v>
      </c>
      <c r="I7" s="531">
        <v>-2.0000000000000001E-4</v>
      </c>
      <c r="J7" s="62" t="s">
        <v>28</v>
      </c>
      <c r="K7" s="83"/>
      <c r="L7" s="84">
        <v>-0.1363</v>
      </c>
      <c r="M7" s="85"/>
      <c r="N7" s="86"/>
      <c r="O7" s="689"/>
      <c r="P7" s="692"/>
      <c r="Q7" s="695"/>
      <c r="R7" s="697"/>
      <c r="S7" s="683"/>
      <c r="T7" s="66"/>
      <c r="U7" s="67"/>
      <c r="V7" s="66"/>
      <c r="W7" s="66"/>
      <c r="X7" s="66"/>
      <c r="Y7" s="68"/>
    </row>
    <row r="8" spans="1:25" s="1" customFormat="1" ht="16.5" thickBot="1" x14ac:dyDescent="0.3">
      <c r="A8" s="8">
        <v>4</v>
      </c>
      <c r="B8" s="55" t="s">
        <v>21</v>
      </c>
      <c r="C8" s="70" t="s">
        <v>22</v>
      </c>
      <c r="D8" s="87" t="s">
        <v>29</v>
      </c>
      <c r="E8" s="87"/>
      <c r="F8" s="71"/>
      <c r="G8" s="589">
        <v>29328982.780000001</v>
      </c>
      <c r="H8" s="73">
        <f t="shared" si="0"/>
        <v>3.729591069587633E-2</v>
      </c>
      <c r="I8" s="531">
        <v>-6.0000000000000001E-3</v>
      </c>
      <c r="J8" s="89" t="s">
        <v>30</v>
      </c>
      <c r="K8" s="83"/>
      <c r="L8" s="90"/>
      <c r="M8" s="78"/>
      <c r="N8" s="79"/>
      <c r="O8" s="689"/>
      <c r="P8" s="692"/>
      <c r="Q8" s="695"/>
      <c r="R8" s="697"/>
      <c r="S8" s="683"/>
      <c r="T8" s="66"/>
      <c r="U8" s="67"/>
      <c r="V8" s="66"/>
      <c r="W8" s="66"/>
      <c r="X8" s="66"/>
      <c r="Y8" s="68"/>
    </row>
    <row r="9" spans="1:25" s="1" customFormat="1" ht="15.75" x14ac:dyDescent="0.25">
      <c r="A9" s="8">
        <v>5</v>
      </c>
      <c r="B9" s="69" t="s">
        <v>21</v>
      </c>
      <c r="C9" s="419" t="s">
        <v>22</v>
      </c>
      <c r="D9" s="87" t="s">
        <v>31</v>
      </c>
      <c r="E9" s="87"/>
      <c r="F9" s="80"/>
      <c r="G9" s="588">
        <v>11904116.539999999</v>
      </c>
      <c r="H9" s="73">
        <f t="shared" si="0"/>
        <v>1.5137751988176667E-2</v>
      </c>
      <c r="I9" s="526">
        <v>-6.0000000000000001E-3</v>
      </c>
      <c r="J9" s="420" t="s">
        <v>32</v>
      </c>
      <c r="K9" s="421"/>
      <c r="L9" s="422"/>
      <c r="M9" s="78"/>
      <c r="N9" s="91"/>
      <c r="O9" s="689"/>
      <c r="P9" s="692"/>
      <c r="Q9" s="695"/>
      <c r="R9" s="697"/>
      <c r="S9" s="683"/>
      <c r="T9" s="66"/>
      <c r="U9" s="67"/>
      <c r="V9" s="66"/>
      <c r="W9" s="66"/>
      <c r="X9" s="66"/>
      <c r="Y9" s="68"/>
    </row>
    <row r="10" spans="1:25" s="1" customFormat="1" ht="16.5" thickBot="1" x14ac:dyDescent="0.3">
      <c r="A10" s="8">
        <v>6</v>
      </c>
      <c r="B10" s="55" t="s">
        <v>21</v>
      </c>
      <c r="C10" s="157" t="s">
        <v>22</v>
      </c>
      <c r="D10" s="71" t="s">
        <v>33</v>
      </c>
      <c r="E10" s="71"/>
      <c r="F10" s="71"/>
      <c r="G10" s="538">
        <v>20702811.370000001</v>
      </c>
      <c r="H10" s="73">
        <f t="shared" si="0"/>
        <v>2.6326525191853009E-2</v>
      </c>
      <c r="I10" s="531">
        <v>-6.0000000000000001E-3</v>
      </c>
      <c r="J10" s="75" t="s">
        <v>34</v>
      </c>
      <c r="K10" s="421"/>
      <c r="L10" s="83"/>
      <c r="M10" s="85"/>
      <c r="N10" s="79"/>
      <c r="O10" s="690"/>
      <c r="P10" s="693"/>
      <c r="Q10" s="696"/>
      <c r="R10" s="676"/>
      <c r="S10" s="684"/>
      <c r="T10" s="67"/>
      <c r="U10" s="67"/>
      <c r="V10" s="66"/>
      <c r="W10" s="67"/>
      <c r="X10" s="67"/>
      <c r="Y10" s="97"/>
    </row>
    <row r="11" spans="1:25" s="54" customFormat="1" ht="16.5" thickBot="1" x14ac:dyDescent="0.25">
      <c r="A11" s="40"/>
      <c r="B11" s="402" t="s">
        <v>167</v>
      </c>
      <c r="C11" s="403"/>
      <c r="D11" s="404"/>
      <c r="E11" s="404"/>
      <c r="F11" s="404"/>
      <c r="G11" s="43">
        <f>SUM(G12:G19)</f>
        <v>273053324.21999997</v>
      </c>
      <c r="H11" s="44">
        <f t="shared" si="0"/>
        <v>0.34722555745321637</v>
      </c>
      <c r="I11" s="98"/>
      <c r="J11" s="99"/>
      <c r="K11" s="45"/>
      <c r="L11" s="45"/>
      <c r="M11" s="148"/>
      <c r="N11" s="423"/>
      <c r="O11" s="48"/>
      <c r="P11" s="424"/>
      <c r="Q11" s="597"/>
      <c r="R11" s="103"/>
      <c r="S11" s="425"/>
      <c r="T11" s="53"/>
      <c r="U11" s="53"/>
      <c r="V11" s="53"/>
      <c r="W11" s="53"/>
      <c r="X11" s="53"/>
      <c r="Y11" s="53"/>
    </row>
    <row r="12" spans="1:25" s="1" customFormat="1" ht="15.75" customHeight="1" thickBot="1" x14ac:dyDescent="0.3">
      <c r="A12" s="8">
        <v>7</v>
      </c>
      <c r="B12" s="104" t="s">
        <v>35</v>
      </c>
      <c r="C12" s="105" t="s">
        <v>36</v>
      </c>
      <c r="D12" s="106" t="s">
        <v>37</v>
      </c>
      <c r="E12" s="107" t="s">
        <v>38</v>
      </c>
      <c r="F12" s="108" t="s">
        <v>39</v>
      </c>
      <c r="G12" s="563">
        <v>54512128.600000001</v>
      </c>
      <c r="H12" s="110">
        <f t="shared" si="0"/>
        <v>6.9319808851131454E-2</v>
      </c>
      <c r="I12" s="564">
        <v>4.0000000000000001E-3</v>
      </c>
      <c r="J12" s="112"/>
      <c r="K12" s="113"/>
      <c r="L12" s="114" t="s">
        <v>40</v>
      </c>
      <c r="M12" s="535">
        <v>1304781541.54</v>
      </c>
      <c r="N12" s="116">
        <f t="shared" ref="N12:N19" si="1">G12/M12</f>
        <v>4.1778739861433621E-2</v>
      </c>
      <c r="O12" s="659" t="s">
        <v>41</v>
      </c>
      <c r="P12" s="662">
        <f>(SUM(G12:G19)/G71)</f>
        <v>0.34722555745321637</v>
      </c>
      <c r="Q12" s="655">
        <v>1</v>
      </c>
      <c r="R12" s="655">
        <v>0.5</v>
      </c>
      <c r="S12" s="657" t="s">
        <v>174</v>
      </c>
      <c r="T12" s="67"/>
      <c r="U12" s="67"/>
      <c r="V12" s="66"/>
      <c r="W12" s="67"/>
      <c r="X12" s="67"/>
      <c r="Y12" s="97"/>
    </row>
    <row r="13" spans="1:25" s="1" customFormat="1" ht="15.75" customHeight="1" x14ac:dyDescent="0.25">
      <c r="A13" s="8"/>
      <c r="B13" s="104" t="s">
        <v>35</v>
      </c>
      <c r="C13" s="105" t="s">
        <v>77</v>
      </c>
      <c r="D13" s="106" t="s">
        <v>242</v>
      </c>
      <c r="E13" s="107" t="s">
        <v>38</v>
      </c>
      <c r="F13" s="108" t="s">
        <v>39</v>
      </c>
      <c r="G13" s="563">
        <v>25149548.120000001</v>
      </c>
      <c r="H13" s="110">
        <f t="shared" si="0"/>
        <v>3.1981173972552089E-2</v>
      </c>
      <c r="I13" s="564">
        <v>6.0000000000000001E-3</v>
      </c>
      <c r="J13" s="112"/>
      <c r="K13" s="113"/>
      <c r="L13" s="114" t="s">
        <v>40</v>
      </c>
      <c r="M13" s="535">
        <v>3392469637.4099998</v>
      </c>
      <c r="N13" s="116">
        <f t="shared" ref="N13" si="2">G13/M13</f>
        <v>7.4133450872092598E-3</v>
      </c>
      <c r="O13" s="660"/>
      <c r="P13" s="663"/>
      <c r="Q13" s="665"/>
      <c r="R13" s="665"/>
      <c r="S13" s="677"/>
      <c r="T13" s="67"/>
      <c r="U13" s="67"/>
      <c r="V13" s="66"/>
      <c r="W13" s="67"/>
      <c r="X13" s="67"/>
      <c r="Y13" s="97"/>
    </row>
    <row r="14" spans="1:25" s="1" customFormat="1" ht="15.75" customHeight="1" thickBot="1" x14ac:dyDescent="0.3">
      <c r="A14" s="8">
        <v>8</v>
      </c>
      <c r="B14" s="117" t="s">
        <v>42</v>
      </c>
      <c r="C14" s="118" t="s">
        <v>43</v>
      </c>
      <c r="D14" s="57" t="s">
        <v>44</v>
      </c>
      <c r="E14" s="119" t="s">
        <v>38</v>
      </c>
      <c r="F14" s="120" t="s">
        <v>39</v>
      </c>
      <c r="G14" s="528">
        <v>30077325.629999999</v>
      </c>
      <c r="H14" s="122">
        <f t="shared" si="0"/>
        <v>3.8247533475051949E-2</v>
      </c>
      <c r="I14" s="539">
        <v>4.2760000000000003E-3</v>
      </c>
      <c r="J14" s="124"/>
      <c r="K14" s="125"/>
      <c r="L14" s="126" t="s">
        <v>45</v>
      </c>
      <c r="M14" s="547">
        <v>6009699793.3500004</v>
      </c>
      <c r="N14" s="128">
        <f t="shared" si="1"/>
        <v>5.0047966893923546E-3</v>
      </c>
      <c r="O14" s="660"/>
      <c r="P14" s="663"/>
      <c r="Q14" s="665"/>
      <c r="R14" s="665"/>
      <c r="S14" s="677"/>
      <c r="T14" s="67"/>
      <c r="U14" s="67"/>
      <c r="V14" s="66"/>
      <c r="W14" s="67"/>
      <c r="X14" s="67"/>
      <c r="Y14" s="97"/>
    </row>
    <row r="15" spans="1:25" s="1" customFormat="1" ht="15.75" customHeight="1" x14ac:dyDescent="0.25">
      <c r="A15" s="8">
        <v>9</v>
      </c>
      <c r="B15" s="117" t="s">
        <v>46</v>
      </c>
      <c r="C15" s="105" t="s">
        <v>36</v>
      </c>
      <c r="D15" s="71" t="s">
        <v>47</v>
      </c>
      <c r="E15" s="129" t="s">
        <v>48</v>
      </c>
      <c r="F15" s="129" t="s">
        <v>49</v>
      </c>
      <c r="G15" s="538">
        <v>12712609.58</v>
      </c>
      <c r="H15" s="122">
        <f t="shared" si="0"/>
        <v>1.6165864161185269E-2</v>
      </c>
      <c r="I15" s="562">
        <v>-1.4E-3</v>
      </c>
      <c r="J15" s="131"/>
      <c r="K15" s="125"/>
      <c r="L15" s="132" t="s">
        <v>40</v>
      </c>
      <c r="M15" s="547">
        <v>304351025.89999998</v>
      </c>
      <c r="N15" s="133">
        <f t="shared" si="1"/>
        <v>4.1769563754245259E-2</v>
      </c>
      <c r="O15" s="660"/>
      <c r="P15" s="663"/>
      <c r="Q15" s="665"/>
      <c r="R15" s="665"/>
      <c r="S15" s="677"/>
      <c r="T15" s="67"/>
      <c r="U15" s="67"/>
      <c r="V15" s="66"/>
      <c r="W15" s="67"/>
      <c r="X15" s="67"/>
      <c r="Y15" s="97"/>
    </row>
    <row r="16" spans="1:25" s="1" customFormat="1" ht="16.5" thickBot="1" x14ac:dyDescent="0.3">
      <c r="A16" s="8">
        <v>10</v>
      </c>
      <c r="B16" s="134" t="s">
        <v>50</v>
      </c>
      <c r="C16" s="93" t="s">
        <v>51</v>
      </c>
      <c r="D16" s="71" t="s">
        <v>52</v>
      </c>
      <c r="E16" s="120" t="s">
        <v>38</v>
      </c>
      <c r="F16" s="120" t="s">
        <v>38</v>
      </c>
      <c r="G16" s="568">
        <v>53634291.700000003</v>
      </c>
      <c r="H16" s="122">
        <f t="shared" si="0"/>
        <v>6.820351624482017E-2</v>
      </c>
      <c r="I16" s="531">
        <v>4.0530000000000002E-3</v>
      </c>
      <c r="J16" s="136"/>
      <c r="K16" s="137"/>
      <c r="L16" s="138" t="s">
        <v>53</v>
      </c>
      <c r="M16" s="548">
        <v>7947962119.2799997</v>
      </c>
      <c r="N16" s="133">
        <f t="shared" si="1"/>
        <v>6.7481815961219875E-3</v>
      </c>
      <c r="O16" s="660"/>
      <c r="P16" s="663"/>
      <c r="Q16" s="665"/>
      <c r="R16" s="665"/>
      <c r="S16" s="677"/>
      <c r="T16" s="67"/>
      <c r="U16" s="67"/>
      <c r="V16" s="66"/>
      <c r="W16" s="67"/>
      <c r="X16" s="67"/>
      <c r="Y16" s="97"/>
    </row>
    <row r="17" spans="1:25" s="1" customFormat="1" ht="16.5" thickBot="1" x14ac:dyDescent="0.3">
      <c r="A17" s="8">
        <v>11</v>
      </c>
      <c r="B17" s="134" t="s">
        <v>50</v>
      </c>
      <c r="C17" s="93" t="s">
        <v>51</v>
      </c>
      <c r="D17" s="71" t="s">
        <v>54</v>
      </c>
      <c r="E17" s="120" t="s">
        <v>38</v>
      </c>
      <c r="F17" s="120" t="s">
        <v>38</v>
      </c>
      <c r="G17" s="568">
        <v>82769520.459999993</v>
      </c>
      <c r="H17" s="122">
        <f t="shared" si="0"/>
        <v>0.10525304155866357</v>
      </c>
      <c r="I17" s="531">
        <v>3.5560000000000001E-3</v>
      </c>
      <c r="J17" s="136"/>
      <c r="K17" s="137"/>
      <c r="L17" s="138" t="s">
        <v>53</v>
      </c>
      <c r="M17" s="548">
        <v>3808020951.6799998</v>
      </c>
      <c r="N17" s="133">
        <f t="shared" si="1"/>
        <v>2.1735573808616845E-2</v>
      </c>
      <c r="O17" s="660"/>
      <c r="P17" s="663"/>
      <c r="Q17" s="665"/>
      <c r="R17" s="665"/>
      <c r="S17" s="677"/>
      <c r="T17" s="67"/>
      <c r="U17" s="67"/>
      <c r="V17" s="66"/>
      <c r="W17" s="67"/>
      <c r="X17" s="67"/>
      <c r="Y17" s="97"/>
    </row>
    <row r="18" spans="1:25" s="1" customFormat="1" ht="15.75" x14ac:dyDescent="0.25">
      <c r="A18" s="8">
        <v>12</v>
      </c>
      <c r="B18" s="55" t="s">
        <v>55</v>
      </c>
      <c r="C18" s="105" t="s">
        <v>36</v>
      </c>
      <c r="D18" s="71" t="s">
        <v>56</v>
      </c>
      <c r="E18" s="140" t="s">
        <v>38</v>
      </c>
      <c r="F18" s="140" t="s">
        <v>39</v>
      </c>
      <c r="G18" s="565">
        <v>7045018.3700000001</v>
      </c>
      <c r="H18" s="122">
        <f t="shared" si="0"/>
        <v>8.9587278886979586E-3</v>
      </c>
      <c r="I18" s="531">
        <v>3.8999999999999998E-3</v>
      </c>
      <c r="J18" s="143"/>
      <c r="K18" s="144"/>
      <c r="L18" s="145" t="s">
        <v>53</v>
      </c>
      <c r="M18" s="569">
        <v>1629746203.4100001</v>
      </c>
      <c r="N18" s="146">
        <f t="shared" si="1"/>
        <v>4.322770229658675E-3</v>
      </c>
      <c r="O18" s="660"/>
      <c r="P18" s="663"/>
      <c r="Q18" s="665"/>
      <c r="R18" s="665"/>
      <c r="S18" s="677"/>
      <c r="T18" s="67"/>
      <c r="U18" s="67"/>
      <c r="V18" s="66"/>
      <c r="W18" s="67"/>
      <c r="X18" s="67"/>
      <c r="Y18" s="97"/>
    </row>
    <row r="19" spans="1:25" s="1" customFormat="1" ht="16.5" thickBot="1" x14ac:dyDescent="0.3">
      <c r="A19" s="147">
        <v>13</v>
      </c>
      <c r="B19" s="272" t="s">
        <v>57</v>
      </c>
      <c r="C19" s="370"/>
      <c r="D19" s="93" t="s">
        <v>58</v>
      </c>
      <c r="E19" s="181" t="s">
        <v>38</v>
      </c>
      <c r="F19" s="181" t="s">
        <v>39</v>
      </c>
      <c r="G19" s="544">
        <v>7152881.7599999998</v>
      </c>
      <c r="H19" s="122">
        <f t="shared" si="0"/>
        <v>9.0958913011139446E-3</v>
      </c>
      <c r="I19" s="555">
        <v>-2.3999999999999998E-3</v>
      </c>
      <c r="J19" s="373"/>
      <c r="K19" s="204"/>
      <c r="L19" s="374" t="s">
        <v>40</v>
      </c>
      <c r="M19" s="573">
        <v>42265998.509999998</v>
      </c>
      <c r="N19" s="601">
        <f t="shared" si="1"/>
        <v>0.16923489358254842</v>
      </c>
      <c r="O19" s="661"/>
      <c r="P19" s="664"/>
      <c r="Q19" s="656"/>
      <c r="R19" s="656"/>
      <c r="S19" s="658"/>
      <c r="T19" s="67"/>
      <c r="U19" s="67"/>
      <c r="V19" s="66"/>
      <c r="W19" s="67"/>
      <c r="X19" s="67"/>
      <c r="Y19" s="97"/>
    </row>
    <row r="20" spans="1:25" s="1" customFormat="1" ht="16.5" thickBot="1" x14ac:dyDescent="0.3">
      <c r="A20" s="217"/>
      <c r="B20" s="405" t="s">
        <v>173</v>
      </c>
      <c r="C20" s="406"/>
      <c r="D20" s="407"/>
      <c r="E20" s="408"/>
      <c r="F20" s="408"/>
      <c r="G20" s="387"/>
      <c r="H20" s="44"/>
      <c r="I20" s="44"/>
      <c r="J20" s="44"/>
      <c r="K20" s="378"/>
      <c r="L20" s="382"/>
      <c r="M20" s="375"/>
      <c r="N20" s="219"/>
      <c r="O20" s="376" t="s">
        <v>41</v>
      </c>
      <c r="P20" s="362">
        <v>0</v>
      </c>
      <c r="Q20" s="201">
        <v>1</v>
      </c>
      <c r="R20" s="103">
        <v>0</v>
      </c>
      <c r="S20" s="593" t="s">
        <v>168</v>
      </c>
      <c r="T20" s="67"/>
      <c r="U20" s="67"/>
      <c r="V20" s="66"/>
      <c r="W20" s="67"/>
      <c r="X20" s="67"/>
      <c r="Y20" s="97"/>
    </row>
    <row r="21" spans="1:25" s="1" customFormat="1" ht="16.5" thickBot="1" x14ac:dyDescent="0.3">
      <c r="A21" s="217"/>
      <c r="B21" s="405" t="s">
        <v>169</v>
      </c>
      <c r="C21" s="406"/>
      <c r="D21" s="409"/>
      <c r="E21" s="410"/>
      <c r="F21" s="410"/>
      <c r="G21" s="388"/>
      <c r="H21" s="44"/>
      <c r="I21" s="130"/>
      <c r="J21" s="130"/>
      <c r="K21" s="232"/>
      <c r="L21" s="126"/>
      <c r="M21" s="380"/>
      <c r="N21" s="263"/>
      <c r="O21" s="381" t="s">
        <v>41</v>
      </c>
      <c r="P21" s="384">
        <v>0</v>
      </c>
      <c r="Q21" s="200">
        <v>0.05</v>
      </c>
      <c r="R21" s="201">
        <v>0</v>
      </c>
      <c r="S21" s="202" t="s">
        <v>170</v>
      </c>
      <c r="T21" s="67"/>
      <c r="U21" s="67"/>
      <c r="V21" s="66"/>
      <c r="W21" s="67"/>
      <c r="X21" s="67"/>
      <c r="Y21" s="97"/>
    </row>
    <row r="22" spans="1:25" s="54" customFormat="1" ht="16.5" thickBot="1" x14ac:dyDescent="0.25">
      <c r="A22" s="40"/>
      <c r="B22" s="402" t="s">
        <v>171</v>
      </c>
      <c r="C22" s="403"/>
      <c r="D22" s="404"/>
      <c r="E22" s="404"/>
      <c r="F22" s="404"/>
      <c r="G22" s="43">
        <f xml:space="preserve"> SUM(G23:G26)</f>
        <v>150797361.13999999</v>
      </c>
      <c r="H22" s="44">
        <f>G22/$G$71</f>
        <v>0.19175997191714572</v>
      </c>
      <c r="I22" s="98"/>
      <c r="J22" s="45"/>
      <c r="K22" s="45"/>
      <c r="L22" s="383"/>
      <c r="M22" s="148"/>
      <c r="N22" s="149"/>
      <c r="O22" s="163"/>
      <c r="P22" s="386"/>
      <c r="Q22" s="595"/>
      <c r="R22" s="386"/>
      <c r="S22" s="152"/>
      <c r="T22" s="53"/>
      <c r="U22" s="53"/>
      <c r="V22" s="53"/>
      <c r="W22" s="53"/>
      <c r="X22" s="53"/>
      <c r="Y22" s="53"/>
    </row>
    <row r="23" spans="1:25" s="54" customFormat="1" ht="23.25" customHeight="1" thickBot="1" x14ac:dyDescent="0.25">
      <c r="A23" s="40"/>
      <c r="B23" s="117" t="s">
        <v>42</v>
      </c>
      <c r="C23" s="118" t="s">
        <v>43</v>
      </c>
      <c r="D23" s="57" t="s">
        <v>61</v>
      </c>
      <c r="E23" s="119" t="s">
        <v>38</v>
      </c>
      <c r="F23" s="119" t="s">
        <v>39</v>
      </c>
      <c r="G23" s="528">
        <v>21552635.32</v>
      </c>
      <c r="H23" s="122">
        <f>G23/$G$71</f>
        <v>2.7407195407528891E-2</v>
      </c>
      <c r="I23" s="539">
        <v>4.0470000000000002E-3</v>
      </c>
      <c r="J23" s="124"/>
      <c r="K23" s="125"/>
      <c r="L23" s="145" t="s">
        <v>53</v>
      </c>
      <c r="M23" s="547">
        <v>2311189701.0300002</v>
      </c>
      <c r="N23" s="128">
        <f>G23/M23</f>
        <v>9.32534240283041E-3</v>
      </c>
      <c r="O23" s="715" t="s">
        <v>243</v>
      </c>
      <c r="P23" s="721">
        <f>SUM(G23:G26)/G71</f>
        <v>0.19175997191714572</v>
      </c>
      <c r="Q23" s="655">
        <v>0.6</v>
      </c>
      <c r="R23" s="655">
        <v>0.35</v>
      </c>
      <c r="S23" s="718" t="s">
        <v>244</v>
      </c>
      <c r="T23" s="53"/>
      <c r="U23" s="53"/>
      <c r="V23" s="53"/>
      <c r="W23" s="53"/>
      <c r="X23" s="53"/>
      <c r="Y23" s="53"/>
    </row>
    <row r="24" spans="1:25" s="54" customFormat="1" ht="16.5" customHeight="1" x14ac:dyDescent="0.2">
      <c r="A24" s="40"/>
      <c r="B24" s="55" t="s">
        <v>42</v>
      </c>
      <c r="C24" s="56" t="s">
        <v>43</v>
      </c>
      <c r="D24" s="57" t="s">
        <v>59</v>
      </c>
      <c r="E24" s="119" t="s">
        <v>38</v>
      </c>
      <c r="F24" s="129" t="s">
        <v>39</v>
      </c>
      <c r="G24" s="538">
        <v>52980035.340000004</v>
      </c>
      <c r="H24" s="82">
        <f>G24/$G$71</f>
        <v>6.7371537619519584E-2</v>
      </c>
      <c r="I24" s="531">
        <v>-1.737E-3</v>
      </c>
      <c r="J24" s="124"/>
      <c r="K24" s="172"/>
      <c r="L24" s="132" t="s">
        <v>40</v>
      </c>
      <c r="M24" s="567">
        <v>1062885814.6</v>
      </c>
      <c r="N24" s="133">
        <f>G24/M24</f>
        <v>4.984546280725196E-2</v>
      </c>
      <c r="O24" s="716"/>
      <c r="P24" s="722"/>
      <c r="Q24" s="665"/>
      <c r="R24" s="665"/>
      <c r="S24" s="719"/>
      <c r="T24" s="53"/>
      <c r="U24" s="53"/>
      <c r="V24" s="53"/>
      <c r="W24" s="53"/>
      <c r="X24" s="53"/>
      <c r="Y24" s="53"/>
    </row>
    <row r="25" spans="1:25" s="54" customFormat="1" ht="16.5" customHeight="1" x14ac:dyDescent="0.2">
      <c r="A25" s="40"/>
      <c r="B25" s="55" t="s">
        <v>62</v>
      </c>
      <c r="C25" s="157" t="s">
        <v>63</v>
      </c>
      <c r="D25" s="158" t="s">
        <v>64</v>
      </c>
      <c r="E25" s="119" t="s">
        <v>38</v>
      </c>
      <c r="F25" s="119" t="s">
        <v>39</v>
      </c>
      <c r="G25" s="538">
        <v>48330287.590000004</v>
      </c>
      <c r="H25" s="73">
        <f>G25/$G$71</f>
        <v>6.1458731909782925E-2</v>
      </c>
      <c r="I25" s="545">
        <v>-1.8E-3</v>
      </c>
      <c r="J25" s="390"/>
      <c r="K25" s="391"/>
      <c r="L25" s="160" t="s">
        <v>40</v>
      </c>
      <c r="M25" s="547">
        <v>1387194609.97</v>
      </c>
      <c r="N25" s="133">
        <f>G25/M25</f>
        <v>3.4840308088455743E-2</v>
      </c>
      <c r="O25" s="716"/>
      <c r="P25" s="722"/>
      <c r="Q25" s="665"/>
      <c r="R25" s="665"/>
      <c r="S25" s="719"/>
      <c r="T25" s="53"/>
      <c r="U25" s="53"/>
      <c r="V25" s="53"/>
      <c r="W25" s="602"/>
      <c r="X25" s="53"/>
      <c r="Y25" s="53"/>
    </row>
    <row r="26" spans="1:25" s="54" customFormat="1" ht="16.5" customHeight="1" thickBot="1" x14ac:dyDescent="0.25">
      <c r="A26" s="40"/>
      <c r="B26" s="511" t="s">
        <v>62</v>
      </c>
      <c r="C26" s="157" t="s">
        <v>65</v>
      </c>
      <c r="D26" s="512" t="s">
        <v>66</v>
      </c>
      <c r="E26" s="389" t="s">
        <v>38</v>
      </c>
      <c r="F26" s="389" t="s">
        <v>39</v>
      </c>
      <c r="G26" s="544">
        <v>27934402.890000001</v>
      </c>
      <c r="H26" s="95">
        <f>G26/$G$71</f>
        <v>3.552250698031436E-2</v>
      </c>
      <c r="I26" s="546">
        <v>3.8999999999999998E-3</v>
      </c>
      <c r="J26" s="196"/>
      <c r="K26" s="197"/>
      <c r="L26" s="374" t="s">
        <v>53</v>
      </c>
      <c r="M26" s="548">
        <v>563080501.40999997</v>
      </c>
      <c r="N26" s="146">
        <f>G26/M26</f>
        <v>4.9609963087071836E-2</v>
      </c>
      <c r="O26" s="717"/>
      <c r="P26" s="723"/>
      <c r="Q26" s="656"/>
      <c r="R26" s="656"/>
      <c r="S26" s="720"/>
      <c r="T26" s="53"/>
      <c r="U26" s="53"/>
      <c r="V26" s="53"/>
      <c r="W26" s="53"/>
      <c r="X26" s="53"/>
      <c r="Y26" s="53"/>
    </row>
    <row r="27" spans="1:25" s="1" customFormat="1" ht="16.5" thickBot="1" x14ac:dyDescent="0.3">
      <c r="A27" s="8"/>
      <c r="B27" s="411" t="s">
        <v>181</v>
      </c>
      <c r="C27" s="406"/>
      <c r="D27" s="412"/>
      <c r="E27" s="408"/>
      <c r="F27" s="410"/>
      <c r="G27" s="367"/>
      <c r="H27" s="393"/>
      <c r="I27" s="260"/>
      <c r="J27" s="260"/>
      <c r="K27" s="395"/>
      <c r="L27" s="368"/>
      <c r="M27" s="396"/>
      <c r="N27" s="44"/>
      <c r="O27" s="385" t="s">
        <v>172</v>
      </c>
      <c r="P27" s="384">
        <v>0</v>
      </c>
      <c r="Q27" s="201">
        <v>0.6</v>
      </c>
      <c r="R27" s="594">
        <v>0</v>
      </c>
      <c r="S27" s="379" t="s">
        <v>180</v>
      </c>
      <c r="T27" s="162"/>
      <c r="U27" s="67"/>
      <c r="V27" s="66"/>
      <c r="W27" s="66"/>
      <c r="X27" s="66"/>
      <c r="Y27" s="68"/>
    </row>
    <row r="28" spans="1:25" s="54" customFormat="1" ht="16.5" thickBot="1" x14ac:dyDescent="0.25">
      <c r="A28" s="40"/>
      <c r="B28" s="402" t="s">
        <v>176</v>
      </c>
      <c r="C28" s="403"/>
      <c r="D28" s="404"/>
      <c r="E28" s="404"/>
      <c r="F28" s="404"/>
      <c r="G28" s="397">
        <f>SUM(G29:G35)</f>
        <v>64041111.770000011</v>
      </c>
      <c r="H28" s="260">
        <f t="shared" ref="H28:H35" si="3">G28/$G$71</f>
        <v>8.1437245995019628E-2</v>
      </c>
      <c r="I28" s="392"/>
      <c r="J28" s="99"/>
      <c r="K28" s="187"/>
      <c r="L28" s="45"/>
      <c r="M28" s="148"/>
      <c r="N28" s="149"/>
      <c r="O28" s="42"/>
      <c r="P28" s="595"/>
      <c r="Q28" s="595"/>
      <c r="R28" s="596"/>
      <c r="S28" s="163"/>
      <c r="T28" s="53"/>
      <c r="U28" s="53"/>
      <c r="V28" s="53"/>
      <c r="W28" s="53"/>
      <c r="X28" s="53"/>
      <c r="Y28" s="53"/>
    </row>
    <row r="29" spans="1:25" s="1" customFormat="1" ht="15.75" x14ac:dyDescent="0.25">
      <c r="A29" s="8">
        <v>18</v>
      </c>
      <c r="B29" s="55" t="s">
        <v>67</v>
      </c>
      <c r="C29" s="157" t="s">
        <v>68</v>
      </c>
      <c r="D29" s="71" t="s">
        <v>69</v>
      </c>
      <c r="E29" s="140" t="s">
        <v>70</v>
      </c>
      <c r="F29" s="140" t="s">
        <v>70</v>
      </c>
      <c r="G29" s="141">
        <v>0</v>
      </c>
      <c r="H29" s="164">
        <f t="shared" si="3"/>
        <v>0</v>
      </c>
      <c r="I29" s="165">
        <v>0</v>
      </c>
      <c r="J29" s="166"/>
      <c r="K29" s="167"/>
      <c r="L29" s="168" t="s">
        <v>71</v>
      </c>
      <c r="M29" s="169">
        <v>6893035004.8800001</v>
      </c>
      <c r="N29" s="133">
        <f t="shared" ref="N29:N35" si="4">G29/M29</f>
        <v>0</v>
      </c>
      <c r="O29" s="659" t="s">
        <v>60</v>
      </c>
      <c r="P29" s="662">
        <f>SUM(G29:G35)/G71</f>
        <v>8.1437245995019628E-2</v>
      </c>
      <c r="Q29" s="655">
        <v>0.4</v>
      </c>
      <c r="R29" s="655">
        <v>0.3</v>
      </c>
      <c r="S29" s="657" t="s">
        <v>177</v>
      </c>
      <c r="T29" s="67"/>
      <c r="U29" s="67"/>
      <c r="V29" s="66"/>
      <c r="W29" s="67"/>
      <c r="X29" s="67"/>
      <c r="Y29" s="97"/>
    </row>
    <row r="30" spans="1:25" s="1" customFormat="1" ht="15.75" x14ac:dyDescent="0.25">
      <c r="A30" s="8">
        <v>19</v>
      </c>
      <c r="B30" s="55" t="s">
        <v>72</v>
      </c>
      <c r="C30" s="157" t="s">
        <v>68</v>
      </c>
      <c r="D30" s="71" t="s">
        <v>73</v>
      </c>
      <c r="E30" s="140" t="s">
        <v>70</v>
      </c>
      <c r="F30" s="140" t="s">
        <v>74</v>
      </c>
      <c r="G30" s="565">
        <v>342739.18</v>
      </c>
      <c r="H30" s="164">
        <f t="shared" si="3"/>
        <v>4.3584088630495223E-4</v>
      </c>
      <c r="I30" s="526">
        <v>4.4000000000000003E-3</v>
      </c>
      <c r="J30" s="124"/>
      <c r="K30" s="144"/>
      <c r="L30" s="145" t="s">
        <v>71</v>
      </c>
      <c r="M30" s="566">
        <v>8272359631.5</v>
      </c>
      <c r="N30" s="133">
        <f t="shared" si="4"/>
        <v>4.1431852006880436E-5</v>
      </c>
      <c r="O30" s="660"/>
      <c r="P30" s="663"/>
      <c r="Q30" s="665"/>
      <c r="R30" s="665"/>
      <c r="S30" s="677"/>
      <c r="T30" s="67"/>
      <c r="U30" s="67"/>
      <c r="V30" s="66"/>
      <c r="W30" s="67"/>
      <c r="X30" s="67"/>
      <c r="Y30" s="97"/>
    </row>
    <row r="31" spans="1:25" s="1" customFormat="1" ht="15.75" x14ac:dyDescent="0.25">
      <c r="A31" s="8"/>
      <c r="B31" s="55" t="s">
        <v>72</v>
      </c>
      <c r="C31" s="157" t="s">
        <v>68</v>
      </c>
      <c r="D31" s="71" t="s">
        <v>69</v>
      </c>
      <c r="E31" s="140" t="s">
        <v>70</v>
      </c>
      <c r="F31" s="140" t="s">
        <v>70</v>
      </c>
      <c r="G31" s="565">
        <v>204793.1</v>
      </c>
      <c r="H31" s="164">
        <f t="shared" si="3"/>
        <v>2.6042311886589306E-4</v>
      </c>
      <c r="I31" s="526">
        <v>5.1000000000000004E-3</v>
      </c>
      <c r="J31" s="171"/>
      <c r="K31" s="172"/>
      <c r="L31" s="145" t="s">
        <v>71</v>
      </c>
      <c r="M31" s="566">
        <v>6915756068.6400003</v>
      </c>
      <c r="N31" s="133">
        <f t="shared" si="4"/>
        <v>2.9612539535431164E-5</v>
      </c>
      <c r="O31" s="660"/>
      <c r="P31" s="663"/>
      <c r="Q31" s="665"/>
      <c r="R31" s="665"/>
      <c r="S31" s="677"/>
      <c r="T31" s="67"/>
      <c r="U31" s="67"/>
      <c r="V31" s="66"/>
      <c r="W31" s="67"/>
      <c r="X31" s="67"/>
      <c r="Y31" s="97"/>
    </row>
    <row r="32" spans="1:25" s="1" customFormat="1" ht="16.5" thickBot="1" x14ac:dyDescent="0.3">
      <c r="A32" s="8">
        <v>21</v>
      </c>
      <c r="B32" s="173" t="s">
        <v>75</v>
      </c>
      <c r="C32" s="174"/>
      <c r="D32" s="175" t="s">
        <v>76</v>
      </c>
      <c r="E32" s="140" t="s">
        <v>38</v>
      </c>
      <c r="F32" s="129" t="s">
        <v>39</v>
      </c>
      <c r="G32" s="538">
        <v>16271043.140000001</v>
      </c>
      <c r="H32" s="176">
        <f t="shared" si="3"/>
        <v>2.0690910981474929E-2</v>
      </c>
      <c r="I32" s="540">
        <v>3.5999999999999999E-3</v>
      </c>
      <c r="J32" s="177"/>
      <c r="K32" s="178"/>
      <c r="L32" s="126" t="s">
        <v>71</v>
      </c>
      <c r="M32" s="541">
        <v>212048137.00999999</v>
      </c>
      <c r="N32" s="133">
        <f t="shared" si="4"/>
        <v>7.6732780440474574E-2</v>
      </c>
      <c r="O32" s="660"/>
      <c r="P32" s="663"/>
      <c r="Q32" s="665"/>
      <c r="R32" s="665"/>
      <c r="S32" s="677"/>
      <c r="T32" s="67"/>
      <c r="U32" s="67"/>
      <c r="V32" s="66"/>
      <c r="W32" s="67"/>
      <c r="X32" s="67"/>
      <c r="Y32" s="97"/>
    </row>
    <row r="33" spans="1:25" s="1" customFormat="1" ht="16.5" thickBot="1" x14ac:dyDescent="0.3">
      <c r="A33" s="8">
        <v>22</v>
      </c>
      <c r="B33" s="55" t="s">
        <v>55</v>
      </c>
      <c r="C33" s="105" t="s">
        <v>77</v>
      </c>
      <c r="D33" s="71" t="s">
        <v>78</v>
      </c>
      <c r="E33" s="140" t="s">
        <v>38</v>
      </c>
      <c r="F33" s="140" t="s">
        <v>38</v>
      </c>
      <c r="G33" s="565">
        <v>6407622.5300000003</v>
      </c>
      <c r="H33" s="142">
        <f t="shared" si="3"/>
        <v>8.1481897767940632E-3</v>
      </c>
      <c r="I33" s="531">
        <v>5.1000000000000004E-3</v>
      </c>
      <c r="J33" s="143"/>
      <c r="K33" s="144"/>
      <c r="L33" s="126" t="s">
        <v>71</v>
      </c>
      <c r="M33" s="569">
        <v>10198016708.379999</v>
      </c>
      <c r="N33" s="133">
        <f t="shared" si="4"/>
        <v>6.2832045810776865E-4</v>
      </c>
      <c r="O33" s="660"/>
      <c r="P33" s="663"/>
      <c r="Q33" s="665"/>
      <c r="R33" s="665"/>
      <c r="S33" s="677"/>
      <c r="T33" s="67"/>
      <c r="U33" s="67"/>
      <c r="V33" s="66"/>
      <c r="W33" s="67"/>
      <c r="X33" s="67"/>
      <c r="Y33" s="97"/>
    </row>
    <row r="34" spans="1:25" s="1" customFormat="1" ht="15.75" x14ac:dyDescent="0.25">
      <c r="A34" s="8">
        <v>23</v>
      </c>
      <c r="B34" s="55" t="s">
        <v>55</v>
      </c>
      <c r="C34" s="105" t="s">
        <v>36</v>
      </c>
      <c r="D34" s="71" t="s">
        <v>79</v>
      </c>
      <c r="E34" s="140" t="s">
        <v>38</v>
      </c>
      <c r="F34" s="140" t="s">
        <v>39</v>
      </c>
      <c r="G34" s="565">
        <v>26876924.34</v>
      </c>
      <c r="H34" s="142">
        <f t="shared" si="3"/>
        <v>3.417777484761661E-2</v>
      </c>
      <c r="I34" s="531">
        <v>3.3E-3</v>
      </c>
      <c r="J34" s="143"/>
      <c r="K34" s="144"/>
      <c r="L34" s="145" t="s">
        <v>80</v>
      </c>
      <c r="M34" s="569">
        <v>1496208831.23</v>
      </c>
      <c r="N34" s="133">
        <f t="shared" si="4"/>
        <v>1.7963350956767897E-2</v>
      </c>
      <c r="O34" s="660"/>
      <c r="P34" s="663"/>
      <c r="Q34" s="665"/>
      <c r="R34" s="665"/>
      <c r="S34" s="677"/>
      <c r="T34" s="67"/>
      <c r="U34" s="67"/>
      <c r="V34" s="66"/>
      <c r="W34" s="67"/>
      <c r="X34" s="67"/>
      <c r="Y34" s="97"/>
    </row>
    <row r="35" spans="1:25" s="1" customFormat="1" ht="16.5" thickBot="1" x14ac:dyDescent="0.3">
      <c r="A35" s="8">
        <v>24</v>
      </c>
      <c r="B35" s="173" t="s">
        <v>62</v>
      </c>
      <c r="C35" s="180"/>
      <c r="D35" s="505" t="s">
        <v>81</v>
      </c>
      <c r="E35" s="129" t="s">
        <v>38</v>
      </c>
      <c r="F35" s="209" t="s">
        <v>38</v>
      </c>
      <c r="G35" s="529">
        <v>13937989.48</v>
      </c>
      <c r="H35" s="506">
        <f t="shared" si="3"/>
        <v>1.7724106383963163E-2</v>
      </c>
      <c r="I35" s="540">
        <v>5.1000000000000004E-3</v>
      </c>
      <c r="J35" s="211"/>
      <c r="K35" s="232"/>
      <c r="L35" s="126" t="s">
        <v>71</v>
      </c>
      <c r="M35" s="541">
        <v>8876380016.0200005</v>
      </c>
      <c r="N35" s="146">
        <f t="shared" si="4"/>
        <v>1.5702335247978184E-3</v>
      </c>
      <c r="O35" s="660"/>
      <c r="P35" s="663"/>
      <c r="Q35" s="665"/>
      <c r="R35" s="665"/>
      <c r="S35" s="677"/>
      <c r="T35" s="67"/>
      <c r="U35" s="67"/>
      <c r="V35" s="66"/>
      <c r="W35" s="67"/>
      <c r="X35" s="67"/>
      <c r="Y35" s="97"/>
    </row>
    <row r="36" spans="1:25" s="1" customFormat="1" ht="16.5" thickBot="1" x14ac:dyDescent="0.3">
      <c r="A36" s="8"/>
      <c r="B36" s="414" t="s">
        <v>178</v>
      </c>
      <c r="C36" s="406"/>
      <c r="D36" s="409"/>
      <c r="E36" s="413"/>
      <c r="F36" s="413"/>
      <c r="G36" s="387"/>
      <c r="H36" s="260"/>
      <c r="I36" s="44"/>
      <c r="J36" s="260"/>
      <c r="K36" s="183"/>
      <c r="L36" s="398"/>
      <c r="M36" s="507"/>
      <c r="N36" s="508"/>
      <c r="O36" s="400" t="s">
        <v>60</v>
      </c>
      <c r="P36" s="384">
        <v>0</v>
      </c>
      <c r="Q36" s="200">
        <v>0.4</v>
      </c>
      <c r="R36" s="201">
        <v>0</v>
      </c>
      <c r="S36" s="202" t="s">
        <v>179</v>
      </c>
      <c r="T36" s="67"/>
      <c r="U36" s="67"/>
      <c r="V36" s="66"/>
      <c r="W36" s="67"/>
      <c r="X36" s="67"/>
      <c r="Y36" s="97"/>
    </row>
    <row r="37" spans="1:25" s="1" customFormat="1" ht="16.5" thickBot="1" x14ac:dyDescent="0.3">
      <c r="A37" s="8"/>
      <c r="B37" s="503" t="s">
        <v>182</v>
      </c>
      <c r="C37" s="406"/>
      <c r="D37" s="504"/>
      <c r="E37" s="413"/>
      <c r="F37" s="413"/>
      <c r="G37" s="387"/>
      <c r="H37" s="260"/>
      <c r="I37" s="44"/>
      <c r="J37" s="260"/>
      <c r="K37" s="183"/>
      <c r="L37" s="398"/>
      <c r="M37" s="185"/>
      <c r="N37" s="260"/>
      <c r="O37" s="399" t="s">
        <v>60</v>
      </c>
      <c r="P37" s="384">
        <v>0</v>
      </c>
      <c r="Q37" s="201">
        <v>0.2</v>
      </c>
      <c r="R37" s="103">
        <v>0</v>
      </c>
      <c r="S37" s="202" t="s">
        <v>183</v>
      </c>
      <c r="T37" s="67"/>
      <c r="U37" s="67"/>
      <c r="V37" s="66"/>
      <c r="W37" s="67"/>
      <c r="X37" s="67"/>
      <c r="Y37" s="97"/>
    </row>
    <row r="38" spans="1:25" s="1" customFormat="1" ht="16.5" thickBot="1" x14ac:dyDescent="0.3">
      <c r="A38" s="8"/>
      <c r="B38" s="411" t="s">
        <v>184</v>
      </c>
      <c r="C38" s="406"/>
      <c r="D38" s="504"/>
      <c r="E38" s="413"/>
      <c r="F38" s="413"/>
      <c r="G38" s="377"/>
      <c r="H38" s="260"/>
      <c r="I38" s="44"/>
      <c r="J38" s="260"/>
      <c r="K38" s="183"/>
      <c r="L38" s="398"/>
      <c r="M38" s="185"/>
      <c r="N38" s="260"/>
      <c r="O38" s="369" t="s">
        <v>60</v>
      </c>
      <c r="P38" s="362">
        <v>0</v>
      </c>
      <c r="Q38" s="102">
        <v>0.15</v>
      </c>
      <c r="R38" s="103">
        <v>0</v>
      </c>
      <c r="S38" s="202" t="s">
        <v>186</v>
      </c>
      <c r="T38" s="67"/>
      <c r="U38" s="67"/>
      <c r="V38" s="66"/>
      <c r="W38" s="67"/>
      <c r="X38" s="67"/>
      <c r="Y38" s="97"/>
    </row>
    <row r="39" spans="1:25" s="1" customFormat="1" ht="16.5" thickBot="1" x14ac:dyDescent="0.3">
      <c r="A39" s="8"/>
      <c r="B39" s="411" t="s">
        <v>185</v>
      </c>
      <c r="C39" s="509"/>
      <c r="D39" s="504"/>
      <c r="E39" s="413"/>
      <c r="F39" s="413"/>
      <c r="G39" s="377"/>
      <c r="H39" s="260"/>
      <c r="I39" s="44"/>
      <c r="J39" s="260"/>
      <c r="K39" s="183"/>
      <c r="L39" s="398"/>
      <c r="M39" s="185"/>
      <c r="N39" s="260"/>
      <c r="O39" s="369" t="s">
        <v>60</v>
      </c>
      <c r="P39" s="362">
        <v>0</v>
      </c>
      <c r="Q39" s="102">
        <v>0.15</v>
      </c>
      <c r="R39" s="103">
        <v>0</v>
      </c>
      <c r="S39" s="202" t="s">
        <v>187</v>
      </c>
      <c r="T39" s="67"/>
      <c r="U39" s="67"/>
      <c r="V39" s="66"/>
      <c r="W39" s="67"/>
      <c r="X39" s="67"/>
      <c r="Y39" s="97"/>
    </row>
    <row r="40" spans="1:25" s="54" customFormat="1" ht="16.5" thickBot="1" x14ac:dyDescent="0.25">
      <c r="A40" s="40"/>
      <c r="B40" s="510" t="s">
        <v>188</v>
      </c>
      <c r="C40" s="403"/>
      <c r="D40" s="404"/>
      <c r="E40" s="404"/>
      <c r="F40" s="404"/>
      <c r="G40" s="43">
        <f>SUM(G41:G43)</f>
        <v>7139054.1899999995</v>
      </c>
      <c r="H40" s="44">
        <f>G40/$G$71</f>
        <v>9.0783076085689494E-3</v>
      </c>
      <c r="I40" s="98"/>
      <c r="J40" s="45"/>
      <c r="K40" s="45"/>
      <c r="L40" s="187"/>
      <c r="M40" s="188"/>
      <c r="N40" s="189"/>
      <c r="O40" s="190"/>
      <c r="P40" s="191"/>
      <c r="Q40" s="595"/>
      <c r="R40" s="596"/>
      <c r="S40" s="152"/>
      <c r="T40" s="53"/>
      <c r="U40" s="53"/>
      <c r="V40" s="53"/>
      <c r="W40" s="53"/>
      <c r="X40" s="53"/>
      <c r="Y40" s="53"/>
    </row>
    <row r="41" spans="1:25" s="1" customFormat="1" ht="16.5" thickBot="1" x14ac:dyDescent="0.3">
      <c r="A41" s="8">
        <v>25</v>
      </c>
      <c r="B41" s="104" t="s">
        <v>82</v>
      </c>
      <c r="C41" s="118"/>
      <c r="D41" s="208" t="s">
        <v>83</v>
      </c>
      <c r="E41" s="120" t="s">
        <v>84</v>
      </c>
      <c r="F41" s="120" t="s">
        <v>85</v>
      </c>
      <c r="G41" s="559">
        <v>7053355.8499999996</v>
      </c>
      <c r="H41" s="225">
        <f>G41/$G$71</f>
        <v>8.9693301626275097E-3</v>
      </c>
      <c r="I41" s="545">
        <v>6.1000000000000004E-3</v>
      </c>
      <c r="J41" s="234"/>
      <c r="K41" s="429"/>
      <c r="L41" s="126" t="s">
        <v>71</v>
      </c>
      <c r="M41" s="574">
        <v>398689938.01999998</v>
      </c>
      <c r="N41" s="216">
        <f>G41/M41</f>
        <v>1.7691331476858523E-2</v>
      </c>
      <c r="O41" s="698" t="s">
        <v>60</v>
      </c>
      <c r="P41" s="662">
        <f>SUM(G41:G43)/G71</f>
        <v>9.0783076085689494E-3</v>
      </c>
      <c r="Q41" s="701">
        <v>0.05</v>
      </c>
      <c r="R41" s="675">
        <v>0.02</v>
      </c>
      <c r="S41" s="657" t="s">
        <v>193</v>
      </c>
      <c r="T41" s="67"/>
      <c r="U41" s="67"/>
      <c r="V41" s="67"/>
      <c r="W41" s="67"/>
      <c r="X41" s="66"/>
      <c r="Y41" s="68"/>
    </row>
    <row r="42" spans="1:25" s="1" customFormat="1" ht="15.75" customHeight="1" x14ac:dyDescent="0.25">
      <c r="A42" s="8">
        <v>26</v>
      </c>
      <c r="B42" s="117" t="s">
        <v>86</v>
      </c>
      <c r="C42" s="105" t="s">
        <v>87</v>
      </c>
      <c r="D42" s="71" t="s">
        <v>88</v>
      </c>
      <c r="E42" s="129" t="s">
        <v>89</v>
      </c>
      <c r="F42" s="129" t="s">
        <v>89</v>
      </c>
      <c r="G42" s="538">
        <v>38405.42</v>
      </c>
      <c r="H42" s="82">
        <f>G42/$G$71</f>
        <v>4.8837872261099348E-5</v>
      </c>
      <c r="I42" s="576">
        <v>-2.2100000000000002E-2</v>
      </c>
      <c r="J42" s="124"/>
      <c r="K42" s="430"/>
      <c r="L42" s="132" t="s">
        <v>71</v>
      </c>
      <c r="M42" s="567">
        <v>896128.08</v>
      </c>
      <c r="N42" s="133">
        <f>G42/M42</f>
        <v>4.2857065699804874E-2</v>
      </c>
      <c r="O42" s="699"/>
      <c r="P42" s="663"/>
      <c r="Q42" s="702"/>
      <c r="R42" s="697"/>
      <c r="S42" s="677"/>
      <c r="T42" s="67"/>
      <c r="U42" s="67"/>
      <c r="V42" s="66"/>
      <c r="W42" s="67"/>
      <c r="X42" s="66"/>
      <c r="Y42" s="68"/>
    </row>
    <row r="43" spans="1:25" s="1" customFormat="1" ht="16.5" thickBot="1" x14ac:dyDescent="0.3">
      <c r="A43" s="8">
        <v>27</v>
      </c>
      <c r="B43" s="192" t="s">
        <v>90</v>
      </c>
      <c r="C43" s="118"/>
      <c r="D43" s="92" t="s">
        <v>91</v>
      </c>
      <c r="E43" s="193" t="s">
        <v>89</v>
      </c>
      <c r="F43" s="193" t="s">
        <v>89</v>
      </c>
      <c r="G43" s="575">
        <v>47292.92</v>
      </c>
      <c r="H43" s="195">
        <f>G43/$G$71</f>
        <v>6.0139573680339671E-5</v>
      </c>
      <c r="I43" s="577">
        <v>-0.19159999999999999</v>
      </c>
      <c r="J43" s="161"/>
      <c r="K43" s="204"/>
      <c r="L43" s="184" t="s">
        <v>71</v>
      </c>
      <c r="M43" s="578">
        <v>950602.02</v>
      </c>
      <c r="N43" s="186">
        <f>G43/M43</f>
        <v>4.9750493902800667E-2</v>
      </c>
      <c r="O43" s="700"/>
      <c r="P43" s="664"/>
      <c r="Q43" s="703"/>
      <c r="R43" s="676"/>
      <c r="S43" s="658"/>
      <c r="T43" s="67"/>
      <c r="U43" s="67"/>
      <c r="V43" s="66"/>
      <c r="W43" s="67"/>
      <c r="X43" s="66"/>
      <c r="Y43" s="68"/>
    </row>
    <row r="44" spans="1:25" s="1" customFormat="1" ht="16.5" thickBot="1" x14ac:dyDescent="0.3">
      <c r="A44" s="8"/>
      <c r="B44" s="414" t="s">
        <v>189</v>
      </c>
      <c r="C44" s="406"/>
      <c r="D44" s="415"/>
      <c r="E44" s="413"/>
      <c r="F44" s="413"/>
      <c r="G44" s="366"/>
      <c r="H44" s="260"/>
      <c r="I44" s="401"/>
      <c r="J44" s="260"/>
      <c r="K44" s="183"/>
      <c r="L44" s="398"/>
      <c r="M44" s="185"/>
      <c r="N44" s="44"/>
      <c r="O44" s="392" t="s">
        <v>60</v>
      </c>
      <c r="P44" s="384">
        <v>0</v>
      </c>
      <c r="Q44" s="200">
        <v>0.05</v>
      </c>
      <c r="R44" s="201">
        <v>0.01</v>
      </c>
      <c r="S44" s="593" t="s">
        <v>191</v>
      </c>
      <c r="T44" s="67"/>
      <c r="U44" s="67"/>
      <c r="V44" s="66"/>
      <c r="W44" s="67"/>
      <c r="X44" s="66"/>
      <c r="Y44" s="68"/>
    </row>
    <row r="45" spans="1:25" s="1" customFormat="1" ht="16.5" thickBot="1" x14ac:dyDescent="0.3">
      <c r="A45" s="8"/>
      <c r="B45" s="414" t="s">
        <v>190</v>
      </c>
      <c r="C45" s="406"/>
      <c r="D45" s="415"/>
      <c r="E45" s="413"/>
      <c r="F45" s="413"/>
      <c r="G45" s="366"/>
      <c r="H45" s="260"/>
      <c r="I45" s="401"/>
      <c r="J45" s="260"/>
      <c r="K45" s="183"/>
      <c r="L45" s="398"/>
      <c r="M45" s="185"/>
      <c r="N45" s="260"/>
      <c r="O45" s="392" t="s">
        <v>60</v>
      </c>
      <c r="P45" s="384">
        <v>0</v>
      </c>
      <c r="Q45" s="200">
        <v>0.05</v>
      </c>
      <c r="R45" s="201">
        <v>0</v>
      </c>
      <c r="S45" s="593" t="s">
        <v>192</v>
      </c>
      <c r="T45" s="67"/>
      <c r="U45" s="67"/>
      <c r="V45" s="66"/>
      <c r="W45" s="67"/>
      <c r="X45" s="66"/>
      <c r="Y45" s="68"/>
    </row>
    <row r="46" spans="1:25" s="54" customFormat="1" ht="16.5" thickBot="1" x14ac:dyDescent="0.25">
      <c r="A46" s="40"/>
      <c r="B46" s="402" t="s">
        <v>194</v>
      </c>
      <c r="C46" s="403"/>
      <c r="D46" s="404"/>
      <c r="E46" s="404"/>
      <c r="F46" s="404"/>
      <c r="G46" s="43">
        <f>SUM(G47:G48)</f>
        <v>59777273.909999996</v>
      </c>
      <c r="H46" s="44">
        <f t="shared" ref="H46:H56" si="5">G46/$G$71</f>
        <v>7.601517877771749E-2</v>
      </c>
      <c r="I46" s="98"/>
      <c r="J46" s="45"/>
      <c r="K46" s="45"/>
      <c r="L46" s="45"/>
      <c r="M46" s="148"/>
      <c r="N46" s="101"/>
      <c r="O46" s="42"/>
      <c r="P46" s="205">
        <f>SUM((G4+G11+G22+G28+G40)/G71)*100</f>
        <v>78.902045334128275</v>
      </c>
      <c r="Q46" s="50"/>
      <c r="R46" s="596"/>
      <c r="S46" s="152"/>
      <c r="T46" s="53"/>
      <c r="U46" s="53"/>
      <c r="V46" s="53"/>
      <c r="W46" s="53"/>
      <c r="X46" s="53"/>
      <c r="Y46" s="53"/>
    </row>
    <row r="47" spans="1:25" s="1" customFormat="1" ht="15.75" x14ac:dyDescent="0.25">
      <c r="A47" s="8">
        <v>28</v>
      </c>
      <c r="B47" s="206" t="s">
        <v>55</v>
      </c>
      <c r="C47" s="207"/>
      <c r="D47" s="208" t="s">
        <v>92</v>
      </c>
      <c r="E47" s="209" t="s">
        <v>93</v>
      </c>
      <c r="F47" s="209" t="s">
        <v>94</v>
      </c>
      <c r="G47" s="571">
        <v>39637094.219999999</v>
      </c>
      <c r="H47" s="82">
        <f t="shared" si="5"/>
        <v>5.0404118593613073E-2</v>
      </c>
      <c r="I47" s="551">
        <v>4.4999999999999997E-3</v>
      </c>
      <c r="J47" s="112"/>
      <c r="K47" s="125"/>
      <c r="L47" s="145" t="s">
        <v>95</v>
      </c>
      <c r="M47" s="572">
        <v>737314466.39999998</v>
      </c>
      <c r="N47" s="434">
        <f>G47/M47</f>
        <v>5.3758736639918994E-2</v>
      </c>
      <c r="O47" s="711" t="s">
        <v>96</v>
      </c>
      <c r="P47" s="680">
        <f>(SUM(G47:G48)/G71)</f>
        <v>7.601517877771749E-2</v>
      </c>
      <c r="Q47" s="655">
        <v>0.3</v>
      </c>
      <c r="R47" s="655">
        <v>0.15</v>
      </c>
      <c r="S47" s="666" t="s">
        <v>196</v>
      </c>
      <c r="T47" s="67"/>
      <c r="U47" s="67"/>
      <c r="V47" s="66"/>
      <c r="W47" s="67"/>
      <c r="X47" s="67"/>
      <c r="Y47" s="212"/>
    </row>
    <row r="48" spans="1:25" s="1" customFormat="1" ht="16.5" thickBot="1" x14ac:dyDescent="0.3">
      <c r="A48" s="8"/>
      <c r="B48" s="245" t="s">
        <v>116</v>
      </c>
      <c r="C48" s="92" t="s">
        <v>100</v>
      </c>
      <c r="D48" s="549" t="s">
        <v>235</v>
      </c>
      <c r="E48" s="120" t="s">
        <v>39</v>
      </c>
      <c r="F48" s="120" t="s">
        <v>94</v>
      </c>
      <c r="G48" s="525">
        <v>20140179.690000001</v>
      </c>
      <c r="H48" s="240">
        <f t="shared" si="5"/>
        <v>2.5611060184104421E-2</v>
      </c>
      <c r="I48" s="555">
        <v>7.6399999999999996E-2</v>
      </c>
      <c r="J48" s="171"/>
      <c r="K48" s="552"/>
      <c r="L48" s="248" t="s">
        <v>236</v>
      </c>
      <c r="M48" s="556">
        <v>304420623.66000003</v>
      </c>
      <c r="N48" s="553">
        <f t="shared" ref="N48" si="6">G48/M48</f>
        <v>6.61590514067604E-2</v>
      </c>
      <c r="O48" s="713"/>
      <c r="P48" s="714"/>
      <c r="Q48" s="656"/>
      <c r="R48" s="656"/>
      <c r="S48" s="668"/>
      <c r="T48" s="554"/>
      <c r="U48" s="67"/>
      <c r="V48" s="66"/>
      <c r="W48" s="67"/>
      <c r="X48" s="67"/>
      <c r="Y48" s="212"/>
    </row>
    <row r="49" spans="1:25" s="1" customFormat="1" ht="16.5" thickBot="1" x14ac:dyDescent="0.3">
      <c r="A49" s="217"/>
      <c r="B49" s="402" t="s">
        <v>199</v>
      </c>
      <c r="C49" s="403"/>
      <c r="D49" s="404"/>
      <c r="E49" s="404"/>
      <c r="F49" s="404"/>
      <c r="G49" s="43">
        <f>SUM(G50)</f>
        <v>0</v>
      </c>
      <c r="H49" s="219">
        <f t="shared" si="5"/>
        <v>0</v>
      </c>
      <c r="I49" s="98"/>
      <c r="J49" s="45"/>
      <c r="K49" s="45"/>
      <c r="L49" s="45"/>
      <c r="M49" s="148"/>
      <c r="N49" s="149"/>
      <c r="O49" s="42"/>
      <c r="P49" s="191"/>
      <c r="Q49" s="595"/>
      <c r="R49" s="254"/>
      <c r="S49" s="220"/>
      <c r="T49" s="67"/>
      <c r="U49" s="67"/>
      <c r="V49" s="66"/>
      <c r="W49" s="67"/>
      <c r="X49" s="67"/>
      <c r="Y49" s="212"/>
    </row>
    <row r="50" spans="1:25" s="1" customFormat="1" ht="16.5" thickBot="1" x14ac:dyDescent="0.3">
      <c r="A50" s="217">
        <v>31</v>
      </c>
      <c r="B50" s="221" t="s">
        <v>50</v>
      </c>
      <c r="C50" s="118"/>
      <c r="D50" s="222" t="s">
        <v>101</v>
      </c>
      <c r="E50" s="223" t="s">
        <v>39</v>
      </c>
      <c r="F50" s="129" t="s">
        <v>49</v>
      </c>
      <c r="G50" s="224">
        <v>0</v>
      </c>
      <c r="H50" s="225">
        <f t="shared" si="5"/>
        <v>0</v>
      </c>
      <c r="I50" s="74">
        <v>0</v>
      </c>
      <c r="J50" s="171"/>
      <c r="K50" s="226"/>
      <c r="L50" s="145" t="s">
        <v>95</v>
      </c>
      <c r="M50" s="214">
        <v>0</v>
      </c>
      <c r="N50" s="216">
        <v>0</v>
      </c>
      <c r="O50" s="227" t="s">
        <v>96</v>
      </c>
      <c r="P50" s="228">
        <f>G50/G71</f>
        <v>0</v>
      </c>
      <c r="Q50" s="229">
        <v>0.3</v>
      </c>
      <c r="R50" s="230">
        <v>0.02</v>
      </c>
      <c r="S50" s="593" t="s">
        <v>195</v>
      </c>
      <c r="T50" s="67"/>
      <c r="U50" s="67"/>
      <c r="V50" s="66"/>
      <c r="W50" s="67"/>
      <c r="X50" s="67"/>
      <c r="Y50" s="212"/>
    </row>
    <row r="51" spans="1:25" s="54" customFormat="1" ht="16.5" thickBot="1" x14ac:dyDescent="0.25">
      <c r="A51" s="40"/>
      <c r="B51" s="402" t="s">
        <v>197</v>
      </c>
      <c r="C51" s="403"/>
      <c r="D51" s="404"/>
      <c r="E51" s="404"/>
      <c r="F51" s="404"/>
      <c r="G51" s="43">
        <f>SUM(G52:G56)</f>
        <v>66397559.009999998</v>
      </c>
      <c r="H51" s="44">
        <f t="shared" si="5"/>
        <v>8.443379880702219E-2</v>
      </c>
      <c r="I51" s="98"/>
      <c r="J51" s="29"/>
      <c r="K51" s="45"/>
      <c r="L51" s="45"/>
      <c r="M51" s="148"/>
      <c r="N51" s="149"/>
      <c r="O51" s="41"/>
      <c r="P51" s="49"/>
      <c r="Q51" s="50"/>
      <c r="R51" s="49"/>
      <c r="S51" s="516"/>
      <c r="T51" s="53"/>
      <c r="U51" s="53"/>
      <c r="V51" s="53"/>
      <c r="W51" s="53"/>
      <c r="X51" s="53"/>
      <c r="Y51" s="53"/>
    </row>
    <row r="52" spans="1:25" s="1" customFormat="1" ht="15.75" x14ac:dyDescent="0.25">
      <c r="A52" s="8">
        <v>34</v>
      </c>
      <c r="B52" s="55" t="s">
        <v>107</v>
      </c>
      <c r="C52" s="231"/>
      <c r="D52" s="71" t="s">
        <v>108</v>
      </c>
      <c r="E52" s="140" t="s">
        <v>39</v>
      </c>
      <c r="F52" s="140" t="s">
        <v>49</v>
      </c>
      <c r="G52" s="538">
        <v>10057851.09</v>
      </c>
      <c r="H52" s="82">
        <f t="shared" si="5"/>
        <v>1.2789966800378147E-2</v>
      </c>
      <c r="I52" s="539">
        <v>-1.5900000000000001E-2</v>
      </c>
      <c r="J52" s="211"/>
      <c r="K52" s="178"/>
      <c r="L52" s="126" t="s">
        <v>95</v>
      </c>
      <c r="M52" s="527">
        <v>242046785.06999999</v>
      </c>
      <c r="N52" s="82">
        <f t="shared" ref="N52:N56" si="7">G52/M52</f>
        <v>4.1553334769934114E-2</v>
      </c>
      <c r="O52" s="659" t="s">
        <v>96</v>
      </c>
      <c r="P52" s="662">
        <f>(SUM(G52:G56)/G71)</f>
        <v>8.443379880702219E-2</v>
      </c>
      <c r="Q52" s="655">
        <v>0.2</v>
      </c>
      <c r="R52" s="655">
        <v>0.15</v>
      </c>
      <c r="S52" s="666" t="s">
        <v>233</v>
      </c>
      <c r="T52" s="514"/>
      <c r="U52" s="67"/>
      <c r="V52" s="66"/>
      <c r="W52" s="67"/>
      <c r="X52" s="67"/>
      <c r="Y52" s="212"/>
    </row>
    <row r="53" spans="1:25" s="1" customFormat="1" ht="19.5" thickBot="1" x14ac:dyDescent="0.3">
      <c r="A53" s="8"/>
      <c r="B53" s="69" t="s">
        <v>113</v>
      </c>
      <c r="C53" s="70" t="s">
        <v>114</v>
      </c>
      <c r="D53" s="87" t="s">
        <v>115</v>
      </c>
      <c r="E53" s="223" t="s">
        <v>39</v>
      </c>
      <c r="F53" s="223" t="s">
        <v>49</v>
      </c>
      <c r="G53" s="529">
        <v>24415180.73</v>
      </c>
      <c r="H53" s="73">
        <f t="shared" si="5"/>
        <v>3.1047322948776355E-2</v>
      </c>
      <c r="I53" s="531">
        <v>3.8199999999999998E-2</v>
      </c>
      <c r="J53" s="211"/>
      <c r="K53" s="433"/>
      <c r="L53" s="126" t="s">
        <v>95</v>
      </c>
      <c r="M53" s="533">
        <v>220320945.19</v>
      </c>
      <c r="N53" s="435">
        <f t="shared" si="7"/>
        <v>0.11081643058922463</v>
      </c>
      <c r="O53" s="660"/>
      <c r="P53" s="663"/>
      <c r="Q53" s="665"/>
      <c r="R53" s="665"/>
      <c r="S53" s="667"/>
      <c r="T53" s="514"/>
      <c r="U53" s="67"/>
      <c r="V53" s="66"/>
      <c r="W53" s="67"/>
      <c r="X53" s="67"/>
      <c r="Y53" s="212"/>
    </row>
    <row r="54" spans="1:25" s="1" customFormat="1" ht="15.75" x14ac:dyDescent="0.25">
      <c r="A54" s="8"/>
      <c r="B54" s="55" t="s">
        <v>75</v>
      </c>
      <c r="C54" s="231"/>
      <c r="D54" s="71" t="s">
        <v>103</v>
      </c>
      <c r="E54" s="140" t="s">
        <v>104</v>
      </c>
      <c r="F54" s="432" t="s">
        <v>105</v>
      </c>
      <c r="G54" s="538">
        <v>21808396.66</v>
      </c>
      <c r="H54" s="73">
        <f t="shared" si="5"/>
        <v>2.7732431784380063E-2</v>
      </c>
      <c r="I54" s="539">
        <v>1.0699999999999999E-2</v>
      </c>
      <c r="J54" s="177"/>
      <c r="K54" s="178"/>
      <c r="L54" s="132" t="s">
        <v>95</v>
      </c>
      <c r="M54" s="542">
        <v>628177198.98000002</v>
      </c>
      <c r="N54" s="435">
        <f t="shared" si="7"/>
        <v>3.4716950400955793E-2</v>
      </c>
      <c r="O54" s="660"/>
      <c r="P54" s="663"/>
      <c r="Q54" s="665"/>
      <c r="R54" s="665"/>
      <c r="S54" s="667"/>
      <c r="T54" s="514"/>
      <c r="U54" s="67"/>
      <c r="V54" s="66"/>
      <c r="W54" s="67"/>
      <c r="X54" s="67"/>
      <c r="Y54" s="212"/>
    </row>
    <row r="55" spans="1:25" s="1" customFormat="1" ht="15.75" x14ac:dyDescent="0.25">
      <c r="A55" s="8"/>
      <c r="B55" s="55" t="s">
        <v>75</v>
      </c>
      <c r="C55" s="231"/>
      <c r="D55" s="71" t="s">
        <v>106</v>
      </c>
      <c r="E55" s="140" t="s">
        <v>39</v>
      </c>
      <c r="F55" s="140" t="s">
        <v>49</v>
      </c>
      <c r="G55" s="538">
        <v>2874584.73</v>
      </c>
      <c r="H55" s="550">
        <f t="shared" si="5"/>
        <v>3.6554372233775015E-3</v>
      </c>
      <c r="I55" s="551">
        <v>1.9199999999999998E-2</v>
      </c>
      <c r="J55" s="234"/>
      <c r="K55" s="235"/>
      <c r="L55" s="236" t="s">
        <v>95</v>
      </c>
      <c r="M55" s="533">
        <v>398949719.56</v>
      </c>
      <c r="N55" s="82">
        <f t="shared" si="7"/>
        <v>7.2053810018224045E-3</v>
      </c>
      <c r="O55" s="660"/>
      <c r="P55" s="663"/>
      <c r="Q55" s="665"/>
      <c r="R55" s="665"/>
      <c r="S55" s="667"/>
      <c r="T55" s="514"/>
      <c r="U55" s="67"/>
      <c r="V55" s="66"/>
      <c r="W55" s="67"/>
      <c r="X55" s="67"/>
      <c r="Y55" s="212"/>
    </row>
    <row r="56" spans="1:25" s="1" customFormat="1" ht="16.5" thickBot="1" x14ac:dyDescent="0.3">
      <c r="A56" s="8">
        <v>35</v>
      </c>
      <c r="B56" s="206" t="s">
        <v>50</v>
      </c>
      <c r="C56" s="118"/>
      <c r="D56" s="215" t="s">
        <v>109</v>
      </c>
      <c r="E56" s="120" t="s">
        <v>110</v>
      </c>
      <c r="F56" s="120" t="s">
        <v>111</v>
      </c>
      <c r="G56" s="525">
        <v>7241545.7999999998</v>
      </c>
      <c r="H56" s="73">
        <f t="shared" si="5"/>
        <v>9.2086400501101284E-3</v>
      </c>
      <c r="I56" s="526">
        <v>-6.1000000000000004E-3</v>
      </c>
      <c r="J56" s="130"/>
      <c r="K56" s="232"/>
      <c r="L56" s="126" t="s">
        <v>112</v>
      </c>
      <c r="M56" s="527">
        <v>456334337.70999998</v>
      </c>
      <c r="N56" s="240">
        <f t="shared" si="7"/>
        <v>1.586894783403741E-2</v>
      </c>
      <c r="O56" s="661"/>
      <c r="P56" s="664"/>
      <c r="Q56" s="656"/>
      <c r="R56" s="656"/>
      <c r="S56" s="668"/>
      <c r="T56" s="515"/>
      <c r="U56" s="67"/>
      <c r="V56" s="66"/>
      <c r="W56" s="67"/>
      <c r="X56" s="67"/>
      <c r="Y56" s="212"/>
    </row>
    <row r="57" spans="1:25" s="1" customFormat="1" ht="16.5" thickBot="1" x14ac:dyDescent="0.3">
      <c r="A57" s="8"/>
      <c r="B57" s="418" t="s">
        <v>200</v>
      </c>
      <c r="C57" s="406"/>
      <c r="D57" s="416"/>
      <c r="E57" s="410"/>
      <c r="F57" s="410"/>
      <c r="G57" s="426"/>
      <c r="H57" s="44"/>
      <c r="I57" s="44"/>
      <c r="J57" s="44"/>
      <c r="K57" s="378"/>
      <c r="L57" s="513"/>
      <c r="M57" s="507"/>
      <c r="N57" s="44"/>
      <c r="O57" s="369" t="s">
        <v>96</v>
      </c>
      <c r="P57" s="362">
        <v>0</v>
      </c>
      <c r="Q57" s="597">
        <v>0.2</v>
      </c>
      <c r="R57" s="594">
        <v>0</v>
      </c>
      <c r="S57" s="593" t="s">
        <v>198</v>
      </c>
      <c r="T57" s="67"/>
      <c r="U57" s="67"/>
      <c r="V57" s="66"/>
      <c r="W57" s="67"/>
      <c r="X57" s="67"/>
      <c r="Y57" s="212"/>
    </row>
    <row r="58" spans="1:25" s="54" customFormat="1" ht="16.5" thickBot="1" x14ac:dyDescent="0.25">
      <c r="A58" s="40"/>
      <c r="B58" s="418" t="s">
        <v>201</v>
      </c>
      <c r="C58" s="403"/>
      <c r="D58" s="404"/>
      <c r="E58" s="404"/>
      <c r="F58" s="404"/>
      <c r="G58" s="43">
        <f>G59+G60</f>
        <v>8710288.4100000001</v>
      </c>
      <c r="H58" s="44">
        <f>G58/$G$71</f>
        <v>1.1076352054603601E-2</v>
      </c>
      <c r="I58" s="244"/>
      <c r="J58" s="45"/>
      <c r="K58" s="45"/>
      <c r="L58" s="45"/>
      <c r="M58" s="148"/>
      <c r="N58" s="149"/>
      <c r="O58" s="190"/>
      <c r="P58" s="191"/>
      <c r="Q58" s="595"/>
      <c r="R58" s="596"/>
      <c r="S58" s="220"/>
      <c r="T58" s="53"/>
      <c r="U58" s="53"/>
      <c r="V58" s="53"/>
      <c r="W58" s="53"/>
      <c r="X58" s="53"/>
      <c r="Y58" s="53"/>
    </row>
    <row r="59" spans="1:25" s="1" customFormat="1" ht="16.5" thickBot="1" x14ac:dyDescent="0.3">
      <c r="A59" s="8">
        <v>39</v>
      </c>
      <c r="B59" s="245" t="s">
        <v>116</v>
      </c>
      <c r="C59" s="92" t="s">
        <v>100</v>
      </c>
      <c r="D59" s="246" t="s">
        <v>117</v>
      </c>
      <c r="E59" s="120" t="s">
        <v>38</v>
      </c>
      <c r="F59" s="120" t="s">
        <v>39</v>
      </c>
      <c r="G59" s="525">
        <v>3383934.91</v>
      </c>
      <c r="H59" s="233">
        <f>G59/$G$71</f>
        <v>4.3031473389551463E-3</v>
      </c>
      <c r="I59" s="557">
        <v>5.8999999999999999E-3</v>
      </c>
      <c r="J59" s="171"/>
      <c r="K59" s="247"/>
      <c r="L59" s="248" t="s">
        <v>118</v>
      </c>
      <c r="M59" s="558">
        <v>1093531923.9400001</v>
      </c>
      <c r="N59" s="156">
        <f t="shared" ref="N59" si="8">G59/M59</f>
        <v>3.0945003396038668E-3</v>
      </c>
      <c r="O59" s="669" t="s">
        <v>102</v>
      </c>
      <c r="P59" s="671">
        <f>SUM(G59:G60)/G71</f>
        <v>1.1076352054603601E-2</v>
      </c>
      <c r="Q59" s="673">
        <v>0.1</v>
      </c>
      <c r="R59" s="675">
        <v>0.03</v>
      </c>
      <c r="S59" s="666" t="s">
        <v>204</v>
      </c>
      <c r="T59" s="67"/>
      <c r="U59" s="67"/>
      <c r="V59" s="66"/>
      <c r="W59" s="67"/>
      <c r="X59" s="67"/>
      <c r="Y59" s="97"/>
    </row>
    <row r="60" spans="1:25" s="1" customFormat="1" ht="16.5" thickBot="1" x14ac:dyDescent="0.3">
      <c r="A60" s="8">
        <v>40</v>
      </c>
      <c r="B60" s="192" t="s">
        <v>107</v>
      </c>
      <c r="C60" s="231"/>
      <c r="D60" s="92" t="s">
        <v>119</v>
      </c>
      <c r="E60" s="140" t="s">
        <v>120</v>
      </c>
      <c r="F60" s="140" t="s">
        <v>120</v>
      </c>
      <c r="G60" s="560">
        <v>5326353.5</v>
      </c>
      <c r="H60" s="242">
        <f t="shared" ref="H60:H69" si="9">G60/$G$71</f>
        <v>6.7732047156484542E-3</v>
      </c>
      <c r="I60" s="555">
        <v>-5.8999999999999999E-3</v>
      </c>
      <c r="J60" s="161"/>
      <c r="K60" s="204"/>
      <c r="L60" s="126" t="s">
        <v>95</v>
      </c>
      <c r="M60" s="570">
        <v>34610648.189999998</v>
      </c>
      <c r="N60" s="523">
        <f>G60/M60</f>
        <v>0.1538934917011735</v>
      </c>
      <c r="O60" s="670"/>
      <c r="P60" s="672"/>
      <c r="Q60" s="674"/>
      <c r="R60" s="676"/>
      <c r="S60" s="668"/>
      <c r="T60" s="67"/>
      <c r="U60" s="67"/>
      <c r="V60" s="66"/>
      <c r="W60" s="67"/>
      <c r="X60" s="67"/>
      <c r="Y60" s="97"/>
    </row>
    <row r="61" spans="1:25" s="1" customFormat="1" ht="16.5" thickBot="1" x14ac:dyDescent="0.3">
      <c r="A61" s="8"/>
      <c r="B61" s="418" t="s">
        <v>202</v>
      </c>
      <c r="C61" s="403"/>
      <c r="D61" s="404"/>
      <c r="E61" s="404"/>
      <c r="F61" s="404"/>
      <c r="G61" s="43">
        <f>SUM(G62:G64)</f>
        <v>15356000.470000003</v>
      </c>
      <c r="H61" s="44">
        <f t="shared" si="9"/>
        <v>1.9527306025952634E-2</v>
      </c>
      <c r="I61" s="98"/>
      <c r="J61" s="99"/>
      <c r="K61" s="99"/>
      <c r="L61" s="45"/>
      <c r="M61" s="100"/>
      <c r="N61" s="149"/>
      <c r="O61" s="42"/>
      <c r="P61" s="595"/>
      <c r="Q61" s="50"/>
      <c r="R61" s="151"/>
      <c r="S61" s="52"/>
      <c r="T61" s="67"/>
      <c r="U61" s="67"/>
      <c r="V61" s="66"/>
      <c r="W61" s="67"/>
      <c r="X61" s="67"/>
      <c r="Y61" s="97"/>
    </row>
    <row r="62" spans="1:25" s="1" customFormat="1" ht="15.75" x14ac:dyDescent="0.25">
      <c r="A62" s="8"/>
      <c r="B62" s="173" t="s">
        <v>123</v>
      </c>
      <c r="C62" s="261"/>
      <c r="D62" s="262" t="s">
        <v>124</v>
      </c>
      <c r="E62" s="107" t="s">
        <v>89</v>
      </c>
      <c r="F62" s="107" t="s">
        <v>89</v>
      </c>
      <c r="G62" s="537">
        <v>14033097.630000001</v>
      </c>
      <c r="H62" s="263">
        <f t="shared" si="9"/>
        <v>1.7845049721666267E-2</v>
      </c>
      <c r="I62" s="536">
        <v>7.3899999999999997E-4</v>
      </c>
      <c r="J62" s="264"/>
      <c r="K62" s="265"/>
      <c r="L62" s="261" t="s">
        <v>80</v>
      </c>
      <c r="M62" s="535">
        <v>99634993.189999998</v>
      </c>
      <c r="N62" s="156">
        <f>G62/M62</f>
        <v>0.14084507039850386</v>
      </c>
      <c r="O62" s="659" t="s">
        <v>125</v>
      </c>
      <c r="P62" s="662">
        <f>SUM(G62:G64)/G71</f>
        <v>1.9527306025952634E-2</v>
      </c>
      <c r="Q62" s="708">
        <v>0.05</v>
      </c>
      <c r="R62" s="655">
        <v>0.03</v>
      </c>
      <c r="S62" s="657" t="s">
        <v>205</v>
      </c>
      <c r="T62" s="67"/>
      <c r="U62" s="67"/>
      <c r="V62" s="66"/>
      <c r="W62" s="67"/>
      <c r="X62" s="67"/>
      <c r="Y62" s="97"/>
    </row>
    <row r="63" spans="1:25" s="1" customFormat="1" ht="15.75" x14ac:dyDescent="0.25">
      <c r="A63" s="8"/>
      <c r="B63" s="266" t="s">
        <v>126</v>
      </c>
      <c r="C63" s="267"/>
      <c r="D63" s="268" t="s">
        <v>127</v>
      </c>
      <c r="E63" s="209" t="s">
        <v>89</v>
      </c>
      <c r="F63" s="209" t="s">
        <v>89</v>
      </c>
      <c r="G63" s="538">
        <v>470888.71</v>
      </c>
      <c r="H63" s="82">
        <f t="shared" si="9"/>
        <v>5.9880096788874747E-4</v>
      </c>
      <c r="I63" s="530">
        <v>2.7000000000000001E-3</v>
      </c>
      <c r="J63" s="269"/>
      <c r="K63" s="270"/>
      <c r="L63" s="271" t="s">
        <v>80</v>
      </c>
      <c r="M63" s="547">
        <v>214711361.44</v>
      </c>
      <c r="N63" s="128">
        <f>G63/M63</f>
        <v>2.1931243267328798E-3</v>
      </c>
      <c r="O63" s="660"/>
      <c r="P63" s="663"/>
      <c r="Q63" s="709"/>
      <c r="R63" s="665"/>
      <c r="S63" s="677"/>
      <c r="T63" s="67"/>
      <c r="U63" s="67"/>
      <c r="V63" s="66"/>
      <c r="W63" s="67"/>
      <c r="X63" s="67"/>
      <c r="Y63" s="97"/>
    </row>
    <row r="64" spans="1:25" s="1" customFormat="1" ht="16.5" thickBot="1" x14ac:dyDescent="0.3">
      <c r="A64" s="8"/>
      <c r="B64" s="272" t="s">
        <v>128</v>
      </c>
      <c r="C64" s="261"/>
      <c r="D64" s="273" t="s">
        <v>129</v>
      </c>
      <c r="E64" s="181" t="s">
        <v>89</v>
      </c>
      <c r="F64" s="181" t="s">
        <v>89</v>
      </c>
      <c r="G64" s="560">
        <v>852014.13</v>
      </c>
      <c r="H64" s="95">
        <f t="shared" si="9"/>
        <v>1.0834553363976152E-3</v>
      </c>
      <c r="I64" s="561">
        <v>-6.0000000000000001E-3</v>
      </c>
      <c r="J64" s="274"/>
      <c r="K64" s="275"/>
      <c r="L64" s="276" t="s">
        <v>80</v>
      </c>
      <c r="M64" s="547">
        <v>215843454.55000001</v>
      </c>
      <c r="N64" s="199">
        <f>G64/M64</f>
        <v>3.9473707079805444E-3</v>
      </c>
      <c r="O64" s="661"/>
      <c r="P64" s="664"/>
      <c r="Q64" s="710"/>
      <c r="R64" s="656"/>
      <c r="S64" s="658"/>
      <c r="T64" s="67"/>
      <c r="U64" s="67"/>
      <c r="V64" s="66"/>
      <c r="W64" s="67"/>
      <c r="X64" s="67"/>
      <c r="Y64" s="97"/>
    </row>
    <row r="65" spans="1:25" s="54" customFormat="1" ht="16.5" thickBot="1" x14ac:dyDescent="0.25">
      <c r="A65" s="40"/>
      <c r="B65" s="418" t="s">
        <v>203</v>
      </c>
      <c r="C65" s="403"/>
      <c r="D65" s="404"/>
      <c r="E65" s="404"/>
      <c r="F65" s="404"/>
      <c r="G65" s="43">
        <f>SUM(G66:G67)</f>
        <v>14625939.140000001</v>
      </c>
      <c r="H65" s="44">
        <f t="shared" si="9"/>
        <v>1.8598930760760676E-2</v>
      </c>
      <c r="I65" s="98"/>
      <c r="J65" s="99"/>
      <c r="K65" s="45"/>
      <c r="L65" s="45"/>
      <c r="M65" s="148"/>
      <c r="N65" s="149"/>
      <c r="O65" s="42"/>
      <c r="P65" s="595"/>
      <c r="Q65" s="253"/>
      <c r="R65" s="254"/>
      <c r="S65" s="255"/>
      <c r="T65" s="53"/>
      <c r="U65" s="53"/>
      <c r="V65" s="53"/>
      <c r="W65" s="53"/>
      <c r="X65" s="53"/>
      <c r="Y65" s="53"/>
    </row>
    <row r="66" spans="1:25" s="54" customFormat="1" ht="16.5" customHeight="1" x14ac:dyDescent="0.25">
      <c r="A66" s="256">
        <v>41</v>
      </c>
      <c r="B66" s="104" t="s">
        <v>164</v>
      </c>
      <c r="C66" s="105"/>
      <c r="D66" s="153" t="s">
        <v>165</v>
      </c>
      <c r="E66" s="108" t="s">
        <v>89</v>
      </c>
      <c r="F66" s="108" t="s">
        <v>89</v>
      </c>
      <c r="G66" s="537">
        <v>5281100</v>
      </c>
      <c r="H66" s="258">
        <f t="shared" si="9"/>
        <v>6.7156585502278531E-3</v>
      </c>
      <c r="I66" s="564">
        <v>-0.10489999999999999</v>
      </c>
      <c r="J66" s="259"/>
      <c r="K66" s="113"/>
      <c r="L66" s="114" t="s">
        <v>71</v>
      </c>
      <c r="M66" s="591">
        <v>236753106.78999999</v>
      </c>
      <c r="N66" s="156">
        <f t="shared" ref="N66" si="10">G66/M66</f>
        <v>2.2306359868317738E-2</v>
      </c>
      <c r="O66" s="698" t="s">
        <v>207</v>
      </c>
      <c r="P66" s="662">
        <f>SUM(G66:G67)/G71</f>
        <v>1.8598930760760676E-2</v>
      </c>
      <c r="Q66" s="655">
        <v>0.05</v>
      </c>
      <c r="R66" s="655">
        <v>0.03</v>
      </c>
      <c r="S66" s="657" t="s">
        <v>206</v>
      </c>
      <c r="T66" s="53"/>
      <c r="U66" s="53"/>
      <c r="V66" s="53"/>
      <c r="W66" s="53"/>
      <c r="X66" s="53"/>
      <c r="Y66" s="53"/>
    </row>
    <row r="67" spans="1:25" s="1" customFormat="1" ht="16.5" thickBot="1" x14ac:dyDescent="0.3">
      <c r="A67" s="8">
        <v>42</v>
      </c>
      <c r="B67" s="192" t="s">
        <v>121</v>
      </c>
      <c r="C67" s="118"/>
      <c r="D67" s="92" t="s">
        <v>122</v>
      </c>
      <c r="E67" s="193" t="s">
        <v>89</v>
      </c>
      <c r="F67" s="193" t="s">
        <v>89</v>
      </c>
      <c r="G67" s="560">
        <v>9344839.1400000006</v>
      </c>
      <c r="H67" s="260">
        <f t="shared" si="9"/>
        <v>1.1883272210532824E-2</v>
      </c>
      <c r="I67" s="561">
        <v>-3.1300000000000001E-2</v>
      </c>
      <c r="J67" s="161"/>
      <c r="K67" s="243"/>
      <c r="L67" s="184" t="s">
        <v>71</v>
      </c>
      <c r="M67" s="578">
        <v>139047318.09</v>
      </c>
      <c r="N67" s="524">
        <f>G67/M67</f>
        <v>6.7206180373442684E-2</v>
      </c>
      <c r="O67" s="700"/>
      <c r="P67" s="664"/>
      <c r="Q67" s="656"/>
      <c r="R67" s="656"/>
      <c r="S67" s="658"/>
      <c r="T67" s="67"/>
      <c r="U67" s="67"/>
      <c r="V67" s="66"/>
      <c r="W67" s="67"/>
      <c r="X67" s="66"/>
      <c r="Y67" s="68"/>
    </row>
    <row r="68" spans="1:25" s="1" customFormat="1" ht="12" customHeight="1" thickBot="1" x14ac:dyDescent="0.3">
      <c r="A68" s="217"/>
      <c r="B68" s="218" t="s">
        <v>130</v>
      </c>
      <c r="C68" s="41"/>
      <c r="D68" s="42"/>
      <c r="E68" s="277"/>
      <c r="F68" s="277"/>
      <c r="G68" s="278">
        <f>SUM(G69:G70)</f>
        <v>1044305.0900000001</v>
      </c>
      <c r="H68" s="279">
        <f t="shared" si="9"/>
        <v>1.3279802326608033E-3</v>
      </c>
      <c r="I68" s="280"/>
      <c r="J68" s="281"/>
      <c r="K68" s="281"/>
      <c r="L68" s="281"/>
      <c r="M68" s="282"/>
      <c r="N68" s="149"/>
      <c r="O68" s="283"/>
      <c r="P68" s="284">
        <f>SUM((G46+G49+G51+G58+G65)/G71)*100</f>
        <v>19.012426040010393</v>
      </c>
      <c r="Q68" s="285"/>
      <c r="R68" s="286">
        <f>SUM(P46+P68+P69+P70)/100</f>
        <v>0.97915799354371336</v>
      </c>
      <c r="S68" s="52"/>
      <c r="T68" s="261"/>
      <c r="U68" s="261"/>
      <c r="V68" s="261"/>
      <c r="W68" s="261"/>
      <c r="X68" s="261"/>
    </row>
    <row r="69" spans="1:25" s="1" customFormat="1" ht="15.75" x14ac:dyDescent="0.25">
      <c r="A69" s="217">
        <v>46</v>
      </c>
      <c r="B69" s="287" t="s">
        <v>131</v>
      </c>
      <c r="C69" s="288"/>
      <c r="D69" s="289"/>
      <c r="E69" s="290"/>
      <c r="F69" s="291"/>
      <c r="G69" s="600">
        <v>397453.28</v>
      </c>
      <c r="H69" s="233">
        <f t="shared" si="9"/>
        <v>5.0541753008806977E-4</v>
      </c>
      <c r="I69" s="165">
        <v>0</v>
      </c>
      <c r="J69" s="293"/>
      <c r="K69" s="294"/>
      <c r="L69" s="295"/>
      <c r="M69" s="296"/>
      <c r="N69" s="297"/>
      <c r="O69" s="704" t="s">
        <v>132</v>
      </c>
      <c r="P69" s="706">
        <f>(G69+G70)/G71</f>
        <v>1.3279802326608033E-3</v>
      </c>
      <c r="Q69" s="298"/>
      <c r="R69" s="299"/>
      <c r="S69" s="291"/>
      <c r="T69" s="261"/>
      <c r="U69" s="261"/>
      <c r="V69" s="261"/>
      <c r="W69" s="261"/>
      <c r="X69" s="261"/>
    </row>
    <row r="70" spans="1:25" s="261" customFormat="1" ht="15.75" x14ac:dyDescent="0.25">
      <c r="A70" s="8">
        <v>47</v>
      </c>
      <c r="B70" s="300" t="s">
        <v>133</v>
      </c>
      <c r="C70" s="301"/>
      <c r="D70" s="302"/>
      <c r="E70" s="303"/>
      <c r="F70" s="301"/>
      <c r="G70" s="538">
        <v>646851.81000000006</v>
      </c>
      <c r="H70" s="304">
        <v>9.5999999999999992E-3</v>
      </c>
      <c r="I70" s="74">
        <v>0</v>
      </c>
      <c r="J70" s="305"/>
      <c r="K70" s="306"/>
      <c r="L70" s="307"/>
      <c r="M70" s="308"/>
      <c r="N70" s="309"/>
      <c r="O70" s="705"/>
      <c r="P70" s="707"/>
      <c r="Q70" s="310"/>
      <c r="R70" s="311"/>
      <c r="S70" s="303"/>
      <c r="T70" s="312"/>
      <c r="V70" s="313"/>
      <c r="Y70" s="1"/>
    </row>
    <row r="71" spans="1:25" s="261" customFormat="1" ht="16.5" thickBot="1" x14ac:dyDescent="0.3">
      <c r="A71" s="8"/>
      <c r="B71" s="314" t="s">
        <v>134</v>
      </c>
      <c r="C71" s="315"/>
      <c r="D71" s="316"/>
      <c r="E71" s="317"/>
      <c r="F71" s="317"/>
      <c r="G71" s="318">
        <f>G4+G11+G22+G28+G40+G46+G49+G51+G58+G61+G65+G68</f>
        <v>786386020.14999998</v>
      </c>
      <c r="H71" s="319">
        <f>G71/$G$71</f>
        <v>1</v>
      </c>
      <c r="I71" s="320"/>
      <c r="J71" s="321"/>
      <c r="K71" s="322"/>
      <c r="L71" s="323"/>
      <c r="M71" s="324"/>
      <c r="N71" s="325"/>
      <c r="O71" s="326"/>
      <c r="P71" s="327">
        <f>P5+P12+P20+P21+P27+P29+P36+P37+P38+P39+P41+P44+P45+P47+P50+P52+P57+P59+P62+P66+P69</f>
        <v>0.80824002808285422</v>
      </c>
      <c r="Q71" s="328"/>
      <c r="R71" s="329"/>
      <c r="S71" s="330"/>
      <c r="T71" s="312"/>
      <c r="V71" s="313"/>
      <c r="Y71" s="1"/>
    </row>
    <row r="72" spans="1:25" s="261" customFormat="1" x14ac:dyDescent="0.25">
      <c r="A72" s="1"/>
      <c r="B72" s="331" t="s">
        <v>245</v>
      </c>
      <c r="C72" s="331"/>
      <c r="D72" s="332"/>
      <c r="E72" s="332">
        <v>6.9769999999999997E-3</v>
      </c>
      <c r="F72" s="332"/>
      <c r="G72" s="331" t="s">
        <v>135</v>
      </c>
      <c r="H72" s="333">
        <v>8.8000000000000005E-3</v>
      </c>
      <c r="I72" s="334"/>
      <c r="J72" s="331" t="s">
        <v>136</v>
      </c>
      <c r="K72" s="333">
        <v>-8.6E-3</v>
      </c>
      <c r="L72" s="334"/>
      <c r="M72" s="335" t="s">
        <v>137</v>
      </c>
      <c r="N72" s="333">
        <v>4.6620000000000003E-3</v>
      </c>
      <c r="O72" s="1"/>
      <c r="P72" s="333" t="s">
        <v>138</v>
      </c>
      <c r="Q72" s="1"/>
      <c r="R72" s="333"/>
      <c r="S72" s="336">
        <v>5.2999999999999999E-2</v>
      </c>
      <c r="Y72" s="1"/>
    </row>
    <row r="73" spans="1:25" s="261" customFormat="1" x14ac:dyDescent="0.25">
      <c r="A73" s="1"/>
      <c r="B73" s="331" t="s">
        <v>139</v>
      </c>
      <c r="C73" s="337"/>
      <c r="D73" s="331"/>
      <c r="E73" s="338">
        <v>3.5000000000000001E-3</v>
      </c>
      <c r="F73" s="333"/>
      <c r="G73" s="331" t="s">
        <v>140</v>
      </c>
      <c r="H73" s="333">
        <v>8.2000000000000007E-3</v>
      </c>
      <c r="I73" s="331"/>
      <c r="J73" s="331" t="s">
        <v>141</v>
      </c>
      <c r="K73" s="333">
        <v>-1.438E-3</v>
      </c>
      <c r="L73" s="333"/>
      <c r="M73" s="335" t="s">
        <v>142</v>
      </c>
      <c r="N73" s="333">
        <v>5.0549999999999996E-3</v>
      </c>
      <c r="O73" s="1"/>
      <c r="P73" s="339" t="s">
        <v>143</v>
      </c>
      <c r="Q73" s="1"/>
      <c r="R73" s="1"/>
      <c r="S73" s="336">
        <v>2.6200000000000001E-2</v>
      </c>
      <c r="Y73" s="1"/>
    </row>
    <row r="74" spans="1:25" s="261" customFormat="1" x14ac:dyDescent="0.25">
      <c r="A74" s="1"/>
      <c r="B74" s="331" t="s">
        <v>144</v>
      </c>
      <c r="C74" s="1"/>
      <c r="D74" s="333"/>
      <c r="E74" s="333">
        <v>2.0999999999999999E-3</v>
      </c>
      <c r="F74" s="333"/>
      <c r="G74" s="331" t="s">
        <v>145</v>
      </c>
      <c r="H74" s="333">
        <v>6.4000000000000003E-3</v>
      </c>
      <c r="I74" s="331"/>
      <c r="J74" s="331" t="s">
        <v>146</v>
      </c>
      <c r="K74" s="333">
        <v>3.1840000000000002E-3</v>
      </c>
      <c r="L74" s="333"/>
      <c r="M74" s="335" t="s">
        <v>147</v>
      </c>
      <c r="N74" s="333">
        <v>4.5319999999999996E-3</v>
      </c>
      <c r="O74" s="333"/>
      <c r="P74" s="339" t="s">
        <v>148</v>
      </c>
      <c r="Q74" s="1"/>
      <c r="R74" s="1"/>
      <c r="S74" s="336">
        <v>0.14899999999999999</v>
      </c>
      <c r="T74" s="340"/>
      <c r="Y74" s="1"/>
    </row>
    <row r="75" spans="1:25" s="261" customFormat="1" x14ac:dyDescent="0.25">
      <c r="A75" s="1"/>
      <c r="B75" s="331" t="s">
        <v>118</v>
      </c>
      <c r="C75" s="333"/>
      <c r="D75" s="333"/>
      <c r="E75" s="341">
        <v>5.1999999999999998E-3</v>
      </c>
      <c r="F75" s="341"/>
      <c r="G75" s="331" t="s">
        <v>149</v>
      </c>
      <c r="H75" s="333">
        <v>2.3699999999999999E-2</v>
      </c>
      <c r="I75" s="331"/>
      <c r="J75" s="331" t="s">
        <v>150</v>
      </c>
      <c r="K75" s="333">
        <v>4.215E-3</v>
      </c>
      <c r="L75" s="333"/>
      <c r="M75" s="335" t="s">
        <v>151</v>
      </c>
      <c r="N75" s="333">
        <v>9.7990000000000004E-3</v>
      </c>
      <c r="O75" s="333"/>
      <c r="P75" s="339" t="s">
        <v>152</v>
      </c>
      <c r="Q75" s="1"/>
      <c r="R75" s="1"/>
      <c r="S75" s="336">
        <v>7.7700000000000005E-2</v>
      </c>
      <c r="Y75" s="1"/>
    </row>
    <row r="76" spans="1:25" s="261" customFormat="1" x14ac:dyDescent="0.25">
      <c r="A76" s="1"/>
      <c r="B76" s="331" t="s">
        <v>80</v>
      </c>
      <c r="C76" s="1"/>
      <c r="D76" s="333"/>
      <c r="E76" s="341">
        <v>2.2000000000000001E-3</v>
      </c>
      <c r="F76" s="341"/>
      <c r="G76" s="331" t="s">
        <v>112</v>
      </c>
      <c r="H76" s="333">
        <v>-1.4200000000000001E-2</v>
      </c>
      <c r="I76" s="1"/>
      <c r="J76" s="331" t="s">
        <v>153</v>
      </c>
      <c r="K76" s="333">
        <v>-6.2899999999999996E-3</v>
      </c>
      <c r="L76" s="1"/>
      <c r="M76" s="335" t="s">
        <v>154</v>
      </c>
      <c r="N76" s="333">
        <v>5.1460000000000004E-3</v>
      </c>
      <c r="O76" s="333"/>
      <c r="P76" s="339"/>
      <c r="Q76" s="1"/>
      <c r="R76" s="1"/>
      <c r="S76" s="342">
        <f>'[1]FFPREV Abril 2018'!$G$48</f>
        <v>253585360.12999997</v>
      </c>
      <c r="T76" s="343"/>
      <c r="Y76" s="1"/>
    </row>
    <row r="77" spans="1:25" s="261" customFormat="1" x14ac:dyDescent="0.25">
      <c r="A77" s="1"/>
      <c r="B77" s="1"/>
      <c r="C77" s="1"/>
      <c r="D77" s="1"/>
      <c r="E77" s="1"/>
      <c r="F77" s="1"/>
      <c r="G77" s="331"/>
      <c r="H77" s="333" t="s">
        <v>155</v>
      </c>
      <c r="I77" s="1"/>
      <c r="J77" s="331"/>
      <c r="K77" s="333"/>
      <c r="L77" s="1"/>
      <c r="M77" s="335"/>
      <c r="N77" s="344"/>
      <c r="O77" s="333"/>
      <c r="P77" s="1"/>
      <c r="Q77" s="1"/>
      <c r="R77" s="1"/>
      <c r="S77" s="345">
        <f>G71</f>
        <v>786386020.14999998</v>
      </c>
      <c r="Y77" s="1"/>
    </row>
    <row r="78" spans="1:25" s="1" customFormat="1" x14ac:dyDescent="0.25">
      <c r="D78" t="s">
        <v>156</v>
      </c>
      <c r="G78" s="346">
        <f>S78</f>
        <v>1039971380.28</v>
      </c>
      <c r="H78" s="333"/>
      <c r="J78" s="331"/>
      <c r="K78" s="333"/>
      <c r="M78" s="347"/>
      <c r="N78" s="344"/>
      <c r="O78" s="333"/>
      <c r="S78" s="348">
        <f>S76+S77</f>
        <v>1039971380.28</v>
      </c>
      <c r="T78" s="261"/>
      <c r="U78" s="261"/>
      <c r="V78" s="261"/>
      <c r="W78" s="261"/>
      <c r="X78" s="261"/>
    </row>
    <row r="79" spans="1:25" s="7" customFormat="1" x14ac:dyDescent="0.25">
      <c r="A79"/>
      <c r="B79"/>
      <c r="C79"/>
      <c r="D79"/>
      <c r="E79"/>
      <c r="F79"/>
      <c r="G79" s="598"/>
      <c r="H79" s="333"/>
      <c r="I79" s="1"/>
      <c r="J79" s="331"/>
      <c r="K79" s="333"/>
      <c r="L79" s="1"/>
      <c r="M79" s="347"/>
      <c r="N79" s="353"/>
      <c r="O79"/>
      <c r="P79"/>
      <c r="Q79"/>
      <c r="R79"/>
      <c r="S79" s="348"/>
      <c r="Y79"/>
    </row>
    <row r="80" spans="1:25" s="7" customFormat="1" x14ac:dyDescent="0.25">
      <c r="A80"/>
      <c r="B80" s="331"/>
      <c r="C80" s="331"/>
      <c r="D80" s="331"/>
      <c r="E80" s="332"/>
      <c r="F80" s="332"/>
      <c r="G80" s="599"/>
      <c r="H80" s="344"/>
      <c r="I80" s="1"/>
      <c r="J80" s="1"/>
      <c r="K80" s="1"/>
      <c r="L80" s="1"/>
      <c r="M80" s="347"/>
      <c r="N80" s="353"/>
      <c r="O80"/>
      <c r="P80"/>
      <c r="Q80"/>
      <c r="R80"/>
      <c r="S80"/>
      <c r="Y80"/>
    </row>
    <row r="81" spans="1:25" s="7" customFormat="1" x14ac:dyDescent="0.25">
      <c r="A81"/>
      <c r="B81" s="331"/>
      <c r="C81" s="331"/>
      <c r="D81" s="331"/>
      <c r="E81" s="333"/>
      <c r="F81" s="333"/>
      <c r="G81" s="354"/>
      <c r="H81" s="344"/>
      <c r="I81" s="1"/>
      <c r="J81" s="1"/>
      <c r="K81" s="1"/>
      <c r="L81" s="1"/>
      <c r="M81" s="347"/>
      <c r="N81" s="353"/>
      <c r="O81"/>
      <c r="P81"/>
      <c r="Q81"/>
      <c r="R81"/>
      <c r="S81"/>
      <c r="Y81"/>
    </row>
    <row r="82" spans="1:25" s="7" customFormat="1" x14ac:dyDescent="0.25">
      <c r="A82"/>
      <c r="B82" s="331"/>
      <c r="C82" s="1"/>
      <c r="D82" s="333"/>
      <c r="E82" s="333"/>
      <c r="F82" s="333"/>
      <c r="G82" s="349"/>
      <c r="H82" s="344"/>
      <c r="I82" s="1"/>
      <c r="J82" s="1"/>
      <c r="K82" s="1"/>
      <c r="L82" s="1"/>
      <c r="M82" s="347"/>
      <c r="N82" s="353"/>
      <c r="O82"/>
      <c r="P82"/>
      <c r="Q82"/>
      <c r="R82"/>
      <c r="S82"/>
      <c r="Y82"/>
    </row>
    <row r="83" spans="1:25" s="7" customFormat="1" x14ac:dyDescent="0.25">
      <c r="A83"/>
      <c r="B83" s="331"/>
      <c r="C83" s="333"/>
      <c r="D83" s="333"/>
      <c r="E83" s="339"/>
      <c r="F83" s="339"/>
      <c r="G83" s="349"/>
      <c r="H83" s="344"/>
      <c r="I83" s="1"/>
      <c r="J83" s="1"/>
      <c r="K83" s="1"/>
      <c r="L83" s="1"/>
      <c r="M83" s="347" t="s">
        <v>157</v>
      </c>
      <c r="N83" s="353"/>
      <c r="O83"/>
      <c r="P83"/>
      <c r="Q83"/>
      <c r="R83"/>
      <c r="S83"/>
      <c r="Y83"/>
    </row>
    <row r="84" spans="1:25" s="7" customFormat="1" x14ac:dyDescent="0.25">
      <c r="A84"/>
      <c r="B84" s="331" t="s">
        <v>60</v>
      </c>
      <c r="C84" s="1"/>
      <c r="D84" s="333" t="s">
        <v>158</v>
      </c>
      <c r="E84" s="355">
        <v>1.6999999999999999E-3</v>
      </c>
      <c r="F84" s="1"/>
      <c r="G84" s="349">
        <f>G4+G11+G20+G21+G22+G27+G28+G36+G37+G38+G39+G40+G44+G45</f>
        <v>620474654.12</v>
      </c>
      <c r="H84" s="344">
        <f>G84/G87</f>
        <v>0.78902045334128268</v>
      </c>
      <c r="I84" s="1"/>
      <c r="J84" s="1" t="s">
        <v>60</v>
      </c>
      <c r="K84" s="1"/>
      <c r="L84" s="1"/>
      <c r="M84" s="586">
        <f>'[3]Consolidado fevereiro 2018'!$G$112</f>
        <v>838658112.35000002</v>
      </c>
      <c r="N84" s="353">
        <f>M84/M87</f>
        <v>0.81890513514275298</v>
      </c>
      <c r="O84"/>
      <c r="P84"/>
      <c r="Q84"/>
      <c r="R84"/>
      <c r="S84"/>
      <c r="Y84"/>
    </row>
    <row r="85" spans="1:25" s="7" customFormat="1" x14ac:dyDescent="0.25">
      <c r="A85"/>
      <c r="B85" t="s">
        <v>96</v>
      </c>
      <c r="C85"/>
      <c r="D85" s="333" t="s">
        <v>158</v>
      </c>
      <c r="E85" s="355">
        <v>1.04E-2</v>
      </c>
      <c r="F85"/>
      <c r="G85" s="349">
        <f>G46+G49+G51+G57+G58+G61+G65</f>
        <v>164867060.94</v>
      </c>
      <c r="H85" s="344">
        <f>G85/G87</f>
        <v>0.20965156642605659</v>
      </c>
      <c r="I85" s="1"/>
      <c r="J85" s="1" t="s">
        <v>96</v>
      </c>
      <c r="K85" s="1"/>
      <c r="L85" s="1"/>
      <c r="M85" s="586">
        <f>'[3]Consolidado fevereiro 2018'!$G$105</f>
        <v>184803995.55999997</v>
      </c>
      <c r="N85" s="353">
        <f>M85/M87</f>
        <v>0.18045129323905537</v>
      </c>
      <c r="O85"/>
      <c r="P85"/>
      <c r="Q85"/>
      <c r="R85"/>
      <c r="S85"/>
      <c r="Y85"/>
    </row>
    <row r="86" spans="1:25" s="7" customFormat="1" x14ac:dyDescent="0.25">
      <c r="A86"/>
      <c r="B86" t="s">
        <v>159</v>
      </c>
      <c r="C86"/>
      <c r="D86"/>
      <c r="E86" s="357"/>
      <c r="F86"/>
      <c r="G86" s="349">
        <f>G68</f>
        <v>1044305.0900000001</v>
      </c>
      <c r="H86" s="344">
        <f>G86/G87</f>
        <v>1.3279802326608033E-3</v>
      </c>
      <c r="I86" s="1"/>
      <c r="J86" s="1" t="s">
        <v>160</v>
      </c>
      <c r="K86" s="1"/>
      <c r="L86" s="1"/>
      <c r="M86" s="586">
        <f>'[3]Consolidado fevereiro 2018'!$M$106</f>
        <v>659095.34000000008</v>
      </c>
      <c r="N86" s="353">
        <f>M86/M87</f>
        <v>6.4357161819166746E-4</v>
      </c>
      <c r="O86"/>
      <c r="P86"/>
      <c r="Q86"/>
      <c r="R86"/>
      <c r="S86"/>
      <c r="Y86"/>
    </row>
    <row r="87" spans="1:25" s="7" customFormat="1" x14ac:dyDescent="0.25">
      <c r="A87"/>
      <c r="B87"/>
      <c r="C87"/>
      <c r="D87"/>
      <c r="E87" s="355">
        <v>3.5000000000000001E-3</v>
      </c>
      <c r="F87"/>
      <c r="G87" s="349">
        <f>G84+G85+G86</f>
        <v>786386020.14999998</v>
      </c>
      <c r="H87" s="344">
        <f>SUM(H84:H86)</f>
        <v>1.0000000000000002</v>
      </c>
      <c r="I87" s="1"/>
      <c r="J87" s="261" t="s">
        <v>161</v>
      </c>
      <c r="K87" s="261"/>
      <c r="L87" s="261"/>
      <c r="M87" s="586">
        <f>M84+M85+M86</f>
        <v>1024121203.25</v>
      </c>
      <c r="N87" s="353">
        <f>N84+N85+N86</f>
        <v>1</v>
      </c>
      <c r="O87"/>
      <c r="P87"/>
      <c r="Q87"/>
      <c r="R87"/>
      <c r="S87"/>
      <c r="Y87"/>
    </row>
    <row r="88" spans="1:25" s="7" customFormat="1" x14ac:dyDescent="0.25">
      <c r="A88"/>
      <c r="B88"/>
      <c r="C88"/>
      <c r="D88"/>
      <c r="E88" s="358"/>
      <c r="F88"/>
      <c r="G88" s="1"/>
      <c r="H88" s="344"/>
      <c r="I88" s="1"/>
      <c r="J88" s="1"/>
      <c r="K88" s="1"/>
      <c r="L88" s="1"/>
      <c r="M88" s="347"/>
      <c r="N88" s="353"/>
      <c r="O88"/>
      <c r="P88"/>
      <c r="Q88"/>
      <c r="R88"/>
      <c r="S88"/>
      <c r="Y88"/>
    </row>
    <row r="89" spans="1:25" s="7" customFormat="1" x14ac:dyDescent="0.25">
      <c r="A89"/>
      <c r="B89"/>
      <c r="C89"/>
      <c r="D89"/>
      <c r="E89"/>
      <c r="F89"/>
      <c r="G89" s="1"/>
      <c r="H89" s="344"/>
      <c r="I89" s="1"/>
      <c r="J89" s="1"/>
      <c r="K89" s="1"/>
      <c r="L89" s="1"/>
      <c r="M89" s="347"/>
      <c r="N89" s="353"/>
      <c r="O89"/>
      <c r="P89"/>
      <c r="Q89"/>
      <c r="R89"/>
      <c r="S89"/>
      <c r="Y89"/>
    </row>
    <row r="90" spans="1:25" s="7" customFormat="1" x14ac:dyDescent="0.25">
      <c r="A90"/>
      <c r="B90"/>
      <c r="C90"/>
      <c r="D90"/>
      <c r="E90"/>
      <c r="F90"/>
      <c r="G90" s="1"/>
      <c r="H90" s="344"/>
      <c r="I90" s="1"/>
      <c r="J90" s="1"/>
      <c r="K90" s="1"/>
      <c r="L90" s="1"/>
      <c r="M90" s="347"/>
      <c r="N90" s="353"/>
      <c r="O90"/>
      <c r="P90"/>
      <c r="Q90"/>
      <c r="R90"/>
      <c r="S90"/>
      <c r="Y90"/>
    </row>
  </sheetData>
  <mergeCells count="53">
    <mergeCell ref="S5:S10"/>
    <mergeCell ref="P3:R3"/>
    <mergeCell ref="O5:O10"/>
    <mergeCell ref="P5:P10"/>
    <mergeCell ref="Q5:Q10"/>
    <mergeCell ref="R5:R10"/>
    <mergeCell ref="O29:O35"/>
    <mergeCell ref="P29:P35"/>
    <mergeCell ref="Q29:Q35"/>
    <mergeCell ref="R29:R35"/>
    <mergeCell ref="S29:S35"/>
    <mergeCell ref="O12:O19"/>
    <mergeCell ref="P12:P19"/>
    <mergeCell ref="Q12:Q19"/>
    <mergeCell ref="R12:R19"/>
    <mergeCell ref="S12:S19"/>
    <mergeCell ref="O47:O48"/>
    <mergeCell ref="P47:P48"/>
    <mergeCell ref="Q47:Q48"/>
    <mergeCell ref="R47:R48"/>
    <mergeCell ref="S47:S48"/>
    <mergeCell ref="O41:O43"/>
    <mergeCell ref="P41:P43"/>
    <mergeCell ref="Q41:Q43"/>
    <mergeCell ref="R41:R43"/>
    <mergeCell ref="S41:S43"/>
    <mergeCell ref="O59:O60"/>
    <mergeCell ref="P59:P60"/>
    <mergeCell ref="Q59:Q60"/>
    <mergeCell ref="R59:R60"/>
    <mergeCell ref="S59:S60"/>
    <mergeCell ref="O52:O56"/>
    <mergeCell ref="P52:P56"/>
    <mergeCell ref="Q52:Q56"/>
    <mergeCell ref="R52:R56"/>
    <mergeCell ref="S52:S56"/>
    <mergeCell ref="R62:R64"/>
    <mergeCell ref="S62:S64"/>
    <mergeCell ref="O66:O67"/>
    <mergeCell ref="P66:P67"/>
    <mergeCell ref="Q66:Q67"/>
    <mergeCell ref="R66:R67"/>
    <mergeCell ref="S66:S67"/>
    <mergeCell ref="O69:O70"/>
    <mergeCell ref="P69:P70"/>
    <mergeCell ref="O62:O64"/>
    <mergeCell ref="P62:P64"/>
    <mergeCell ref="Q62:Q64"/>
    <mergeCell ref="O23:O26"/>
    <mergeCell ref="S23:S26"/>
    <mergeCell ref="R23:R26"/>
    <mergeCell ref="Q23:Q26"/>
    <mergeCell ref="P23:P26"/>
  </mergeCells>
  <printOptions horizontalCentered="1"/>
  <pageMargins left="0" right="0" top="0" bottom="0" header="0.19685039370078741" footer="0.39370078740157483"/>
  <pageSetup paperSize="9" scale="4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9"/>
  <sheetViews>
    <sheetView topLeftCell="A49" zoomScaleNormal="100" workbookViewId="0">
      <selection activeCell="G62" sqref="G62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3.42578125" style="1" bestFit="1" customWidth="1"/>
    <col min="8" max="8" width="11.5703125" style="344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4" style="347" bestFit="1" customWidth="1"/>
    <col min="14" max="14" width="8.140625" style="353" bestFit="1" customWidth="1"/>
    <col min="15" max="15" width="13.5703125" customWidth="1"/>
    <col min="16" max="16" width="6.85546875" customWidth="1"/>
    <col min="17" max="17" width="5.5703125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246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685" t="s">
        <v>18</v>
      </c>
      <c r="Q3" s="686"/>
      <c r="R3" s="687"/>
      <c r="S3" s="38" t="s">
        <v>19</v>
      </c>
      <c r="T3" s="39"/>
      <c r="U3" s="39"/>
      <c r="V3" s="39"/>
      <c r="W3" s="39"/>
      <c r="X3" s="39"/>
      <c r="Y3" s="39"/>
    </row>
    <row r="4" spans="1:25" s="54" customFormat="1" ht="12" customHeight="1" thickBot="1" x14ac:dyDescent="0.25">
      <c r="A4" s="40"/>
      <c r="B4" s="402" t="s">
        <v>166</v>
      </c>
      <c r="C4" s="403"/>
      <c r="D4" s="404"/>
      <c r="E4" s="404"/>
      <c r="F4" s="404"/>
      <c r="G4" s="43">
        <f>SUM(G5:G10)</f>
        <v>118535184.26000001</v>
      </c>
      <c r="H4" s="44">
        <f t="shared" ref="H4:H18" si="0">G4/$G$70</f>
        <v>0.15461021520461005</v>
      </c>
      <c r="I4" s="45"/>
      <c r="J4" s="45"/>
      <c r="K4" s="45"/>
      <c r="L4" s="45"/>
      <c r="M4" s="46"/>
      <c r="N4" s="47"/>
      <c r="O4" s="48"/>
      <c r="P4" s="49"/>
      <c r="Q4" s="50"/>
      <c r="R4" s="606"/>
      <c r="S4" s="52"/>
      <c r="T4" s="53"/>
      <c r="U4" s="53"/>
      <c r="V4" s="53"/>
      <c r="W4" s="53"/>
      <c r="X4" s="53"/>
      <c r="Y4" s="53"/>
    </row>
    <row r="5" spans="1:25" s="1" customFormat="1" ht="16.5" customHeight="1" x14ac:dyDescent="0.25">
      <c r="A5" s="8">
        <v>1</v>
      </c>
      <c r="B5" s="55" t="s">
        <v>21</v>
      </c>
      <c r="C5" s="56" t="s">
        <v>22</v>
      </c>
      <c r="D5" s="57" t="s">
        <v>23</v>
      </c>
      <c r="E5" s="58"/>
      <c r="F5" s="58"/>
      <c r="G5" s="538">
        <v>25491812.030000001</v>
      </c>
      <c r="H5" s="60">
        <f t="shared" si="0"/>
        <v>3.3249997192974938E-2</v>
      </c>
      <c r="I5" s="61">
        <v>4.1000000000000003E-3</v>
      </c>
      <c r="J5" s="62" t="s">
        <v>24</v>
      </c>
      <c r="K5" s="62"/>
      <c r="L5" s="63"/>
      <c r="M5" s="64">
        <v>0</v>
      </c>
      <c r="N5" s="65"/>
      <c r="O5" s="688" t="s">
        <v>20</v>
      </c>
      <c r="P5" s="691">
        <f>SUM(G5:G10)/G70</f>
        <v>0.15461021520461005</v>
      </c>
      <c r="Q5" s="694">
        <v>1</v>
      </c>
      <c r="R5" s="675">
        <v>0.4</v>
      </c>
      <c r="S5" s="682" t="s">
        <v>175</v>
      </c>
      <c r="T5" s="66"/>
      <c r="U5" s="67"/>
      <c r="V5" s="66"/>
      <c r="W5" s="66"/>
      <c r="X5" s="66"/>
      <c r="Y5" s="68"/>
    </row>
    <row r="6" spans="1:25" s="1" customFormat="1" ht="16.5" thickBot="1" x14ac:dyDescent="0.3">
      <c r="A6" s="8">
        <v>2</v>
      </c>
      <c r="B6" s="69" t="s">
        <v>21</v>
      </c>
      <c r="C6" s="70" t="s">
        <v>22</v>
      </c>
      <c r="D6" s="71" t="s">
        <v>25</v>
      </c>
      <c r="E6" s="71"/>
      <c r="F6" s="72"/>
      <c r="G6" s="538">
        <v>11143228.130000001</v>
      </c>
      <c r="H6" s="73">
        <f t="shared" si="0"/>
        <v>1.4534561278230929E-2</v>
      </c>
      <c r="I6" s="74">
        <v>6.6E-3</v>
      </c>
      <c r="J6" s="75" t="s">
        <v>26</v>
      </c>
      <c r="K6" s="76"/>
      <c r="L6" s="77"/>
      <c r="M6" s="78"/>
      <c r="N6" s="79"/>
      <c r="O6" s="689"/>
      <c r="P6" s="692"/>
      <c r="Q6" s="695"/>
      <c r="R6" s="697"/>
      <c r="S6" s="683"/>
      <c r="T6" s="66"/>
      <c r="U6" s="67"/>
      <c r="V6" s="66"/>
      <c r="W6" s="66"/>
      <c r="X6" s="66"/>
      <c r="Y6" s="68"/>
    </row>
    <row r="7" spans="1:25" s="1" customFormat="1" ht="15.75" x14ac:dyDescent="0.25">
      <c r="A7" s="8">
        <v>3</v>
      </c>
      <c r="B7" s="55" t="s">
        <v>21</v>
      </c>
      <c r="C7" s="56" t="s">
        <v>22</v>
      </c>
      <c r="D7" s="57" t="s">
        <v>27</v>
      </c>
      <c r="E7" s="80"/>
      <c r="F7" s="71"/>
      <c r="G7" s="588">
        <v>24169030.77</v>
      </c>
      <c r="H7" s="82">
        <f t="shared" si="0"/>
        <v>3.1524640316415546E-2</v>
      </c>
      <c r="I7" s="74">
        <v>-2.0000000000000001E-4</v>
      </c>
      <c r="J7" s="62" t="s">
        <v>28</v>
      </c>
      <c r="K7" s="83"/>
      <c r="L7" s="614">
        <v>-1.9174</v>
      </c>
      <c r="M7" s="85"/>
      <c r="N7" s="86"/>
      <c r="O7" s="689"/>
      <c r="P7" s="692"/>
      <c r="Q7" s="695"/>
      <c r="R7" s="697"/>
      <c r="S7" s="683"/>
      <c r="T7" s="66"/>
      <c r="U7" s="67"/>
      <c r="V7" s="66"/>
      <c r="W7" s="66"/>
      <c r="X7" s="66"/>
      <c r="Y7" s="68"/>
    </row>
    <row r="8" spans="1:25" s="1" customFormat="1" ht="16.5" thickBot="1" x14ac:dyDescent="0.3">
      <c r="A8" s="8">
        <v>4</v>
      </c>
      <c r="B8" s="55" t="s">
        <v>21</v>
      </c>
      <c r="C8" s="70" t="s">
        <v>22</v>
      </c>
      <c r="D8" s="87" t="s">
        <v>29</v>
      </c>
      <c r="E8" s="87"/>
      <c r="F8" s="71"/>
      <c r="G8" s="589">
        <v>27337853.109999999</v>
      </c>
      <c r="H8" s="73">
        <f t="shared" si="0"/>
        <v>3.5657862928681776E-2</v>
      </c>
      <c r="I8" s="74">
        <v>-6.0000000000000001E-3</v>
      </c>
      <c r="J8" s="89" t="s">
        <v>30</v>
      </c>
      <c r="K8" s="83"/>
      <c r="L8" s="90"/>
      <c r="M8" s="78"/>
      <c r="N8" s="79"/>
      <c r="O8" s="689"/>
      <c r="P8" s="692"/>
      <c r="Q8" s="695"/>
      <c r="R8" s="697"/>
      <c r="S8" s="683"/>
      <c r="T8" s="66"/>
      <c r="U8" s="67"/>
      <c r="V8" s="66"/>
      <c r="W8" s="66"/>
      <c r="X8" s="66"/>
      <c r="Y8" s="68"/>
    </row>
    <row r="9" spans="1:25" s="1" customFormat="1" ht="15.75" x14ac:dyDescent="0.25">
      <c r="A9" s="8">
        <v>5</v>
      </c>
      <c r="B9" s="69" t="s">
        <v>21</v>
      </c>
      <c r="C9" s="419" t="s">
        <v>22</v>
      </c>
      <c r="D9" s="87" t="s">
        <v>31</v>
      </c>
      <c r="E9" s="87"/>
      <c r="F9" s="80"/>
      <c r="G9" s="588">
        <v>11095952.140000001</v>
      </c>
      <c r="H9" s="73">
        <f t="shared" si="0"/>
        <v>1.4472897300285965E-2</v>
      </c>
      <c r="I9" s="170">
        <v>-6.0000000000000001E-3</v>
      </c>
      <c r="J9" s="420" t="s">
        <v>32</v>
      </c>
      <c r="K9" s="421"/>
      <c r="L9" s="422"/>
      <c r="M9" s="78"/>
      <c r="N9" s="91"/>
      <c r="O9" s="689"/>
      <c r="P9" s="692"/>
      <c r="Q9" s="695"/>
      <c r="R9" s="697"/>
      <c r="S9" s="683"/>
      <c r="T9" s="66"/>
      <c r="U9" s="67"/>
      <c r="V9" s="66"/>
      <c r="W9" s="66"/>
      <c r="X9" s="66"/>
      <c r="Y9" s="68"/>
    </row>
    <row r="10" spans="1:25" s="1" customFormat="1" ht="16.5" thickBot="1" x14ac:dyDescent="0.3">
      <c r="A10" s="8">
        <v>6</v>
      </c>
      <c r="B10" s="55" t="s">
        <v>21</v>
      </c>
      <c r="C10" s="157" t="s">
        <v>22</v>
      </c>
      <c r="D10" s="71" t="s">
        <v>33</v>
      </c>
      <c r="E10" s="71"/>
      <c r="F10" s="71"/>
      <c r="G10" s="538">
        <v>19297308.079999998</v>
      </c>
      <c r="H10" s="73">
        <f t="shared" si="0"/>
        <v>2.5170256188020879E-2</v>
      </c>
      <c r="I10" s="74">
        <v>-6.0000000000000001E-3</v>
      </c>
      <c r="J10" s="75" t="s">
        <v>34</v>
      </c>
      <c r="K10" s="421"/>
      <c r="L10" s="83"/>
      <c r="M10" s="85"/>
      <c r="N10" s="79"/>
      <c r="O10" s="690"/>
      <c r="P10" s="693"/>
      <c r="Q10" s="696"/>
      <c r="R10" s="676"/>
      <c r="S10" s="684"/>
      <c r="T10" s="67"/>
      <c r="U10" s="67"/>
      <c r="V10" s="66"/>
      <c r="W10" s="67"/>
      <c r="X10" s="67"/>
      <c r="Y10" s="97"/>
    </row>
    <row r="11" spans="1:25" s="54" customFormat="1" ht="16.5" thickBot="1" x14ac:dyDescent="0.25">
      <c r="A11" s="40"/>
      <c r="B11" s="402" t="s">
        <v>167</v>
      </c>
      <c r="C11" s="403"/>
      <c r="D11" s="404"/>
      <c r="E11" s="404"/>
      <c r="F11" s="404"/>
      <c r="G11" s="43">
        <f>SUM(G12:G18)</f>
        <v>273111826.76999998</v>
      </c>
      <c r="H11" s="44">
        <f t="shared" si="0"/>
        <v>0.35623075608684995</v>
      </c>
      <c r="I11" s="98"/>
      <c r="J11" s="99"/>
      <c r="K11" s="45"/>
      <c r="L11" s="45"/>
      <c r="M11" s="148"/>
      <c r="N11" s="423"/>
      <c r="O11" s="48"/>
      <c r="P11" s="424"/>
      <c r="Q11" s="607"/>
      <c r="R11" s="103"/>
      <c r="S11" s="425"/>
      <c r="T11" s="53"/>
      <c r="U11" s="53"/>
      <c r="V11" s="53"/>
      <c r="W11" s="53"/>
      <c r="X11" s="53"/>
      <c r="Y11" s="53"/>
    </row>
    <row r="12" spans="1:25" s="1" customFormat="1" ht="15.75" customHeight="1" thickBot="1" x14ac:dyDescent="0.3">
      <c r="A12" s="8">
        <v>7</v>
      </c>
      <c r="B12" s="608" t="s">
        <v>35</v>
      </c>
      <c r="C12" s="105" t="s">
        <v>36</v>
      </c>
      <c r="D12" s="106" t="s">
        <v>37</v>
      </c>
      <c r="E12" s="609" t="s">
        <v>38</v>
      </c>
      <c r="F12" s="107" t="s">
        <v>39</v>
      </c>
      <c r="G12" s="563">
        <v>65739490.810000002</v>
      </c>
      <c r="H12" s="233">
        <f t="shared" si="0"/>
        <v>8.5746665726536109E-2</v>
      </c>
      <c r="I12" s="564">
        <v>-1.5800000000000002E-2</v>
      </c>
      <c r="J12" s="610"/>
      <c r="K12" s="167"/>
      <c r="L12" s="168" t="s">
        <v>40</v>
      </c>
      <c r="M12" s="612">
        <v>1277276763.3299999</v>
      </c>
      <c r="N12" s="116">
        <f t="shared" ref="N12:N18" si="1">G12/M12</f>
        <v>5.146847785644356E-2</v>
      </c>
      <c r="O12" s="659" t="s">
        <v>41</v>
      </c>
      <c r="P12" s="662">
        <f>(SUM(G12:G18)/G70)</f>
        <v>0.35623075608684995</v>
      </c>
      <c r="Q12" s="655">
        <v>1</v>
      </c>
      <c r="R12" s="655">
        <v>0.5</v>
      </c>
      <c r="S12" s="657" t="s">
        <v>174</v>
      </c>
      <c r="T12" s="67"/>
      <c r="U12" s="67"/>
      <c r="V12" s="66"/>
      <c r="W12" s="67"/>
      <c r="X12" s="67"/>
      <c r="Y12" s="97"/>
    </row>
    <row r="13" spans="1:25" s="1" customFormat="1" ht="15.75" customHeight="1" x14ac:dyDescent="0.25">
      <c r="A13" s="8"/>
      <c r="B13" s="55" t="s">
        <v>35</v>
      </c>
      <c r="C13" s="105" t="s">
        <v>77</v>
      </c>
      <c r="D13" s="87" t="s">
        <v>242</v>
      </c>
      <c r="E13" s="120" t="s">
        <v>38</v>
      </c>
      <c r="F13" s="129" t="s">
        <v>39</v>
      </c>
      <c r="G13" s="529">
        <v>24670287.68</v>
      </c>
      <c r="H13" s="82">
        <f t="shared" si="0"/>
        <v>3.2178449893814166E-2</v>
      </c>
      <c r="I13" s="613">
        <v>-1.9099999999999999E-2</v>
      </c>
      <c r="J13" s="124"/>
      <c r="K13" s="172"/>
      <c r="L13" s="132" t="s">
        <v>40</v>
      </c>
      <c r="M13" s="567">
        <v>3054612016.3800001</v>
      </c>
      <c r="N13" s="146">
        <f t="shared" si="1"/>
        <v>8.0764062826010185E-3</v>
      </c>
      <c r="O13" s="660"/>
      <c r="P13" s="663"/>
      <c r="Q13" s="665"/>
      <c r="R13" s="665"/>
      <c r="S13" s="677"/>
      <c r="T13" s="67"/>
      <c r="U13" s="67"/>
      <c r="V13" s="66"/>
      <c r="W13" s="67"/>
      <c r="X13" s="67"/>
      <c r="Y13" s="97"/>
    </row>
    <row r="14" spans="1:25" s="1" customFormat="1" ht="15.75" customHeight="1" thickBot="1" x14ac:dyDescent="0.3">
      <c r="A14" s="8">
        <v>8</v>
      </c>
      <c r="B14" s="117" t="s">
        <v>42</v>
      </c>
      <c r="C14" s="118" t="s">
        <v>43</v>
      </c>
      <c r="D14" s="57" t="s">
        <v>44</v>
      </c>
      <c r="E14" s="119" t="s">
        <v>38</v>
      </c>
      <c r="F14" s="120" t="s">
        <v>39</v>
      </c>
      <c r="G14" s="528">
        <v>29518837.07</v>
      </c>
      <c r="H14" s="122">
        <f t="shared" si="0"/>
        <v>3.8502608153641898E-2</v>
      </c>
      <c r="I14" s="539">
        <v>-1.8568000000000001E-2</v>
      </c>
      <c r="J14" s="124"/>
      <c r="K14" s="125"/>
      <c r="L14" s="126" t="s">
        <v>45</v>
      </c>
      <c r="M14" s="547">
        <v>5820256953.7399998</v>
      </c>
      <c r="N14" s="128">
        <f t="shared" si="1"/>
        <v>5.0717412142829345E-3</v>
      </c>
      <c r="O14" s="660"/>
      <c r="P14" s="663"/>
      <c r="Q14" s="665"/>
      <c r="R14" s="665"/>
      <c r="S14" s="677"/>
      <c r="T14" s="67"/>
      <c r="U14" s="67"/>
      <c r="V14" s="66"/>
      <c r="W14" s="67"/>
      <c r="X14" s="67"/>
      <c r="Y14" s="97"/>
    </row>
    <row r="15" spans="1:25" s="1" customFormat="1" ht="15.75" customHeight="1" x14ac:dyDescent="0.25">
      <c r="A15" s="8">
        <v>9</v>
      </c>
      <c r="B15" s="117" t="s">
        <v>46</v>
      </c>
      <c r="C15" s="105" t="s">
        <v>36</v>
      </c>
      <c r="D15" s="71" t="s">
        <v>47</v>
      </c>
      <c r="E15" s="129" t="s">
        <v>48</v>
      </c>
      <c r="F15" s="129" t="s">
        <v>49</v>
      </c>
      <c r="G15" s="538">
        <v>12281258.609999999</v>
      </c>
      <c r="H15" s="122">
        <f t="shared" si="0"/>
        <v>1.601894027102236E-2</v>
      </c>
      <c r="I15" s="562">
        <v>-3.39E-2</v>
      </c>
      <c r="J15" s="131"/>
      <c r="K15" s="125"/>
      <c r="L15" s="132" t="s">
        <v>40</v>
      </c>
      <c r="M15" s="547">
        <v>289675897.22000003</v>
      </c>
      <c r="N15" s="133">
        <f t="shared" si="1"/>
        <v>4.2396549826417752E-2</v>
      </c>
      <c r="O15" s="660"/>
      <c r="P15" s="663"/>
      <c r="Q15" s="665"/>
      <c r="R15" s="665"/>
      <c r="S15" s="677"/>
      <c r="T15" s="67"/>
      <c r="U15" s="67"/>
      <c r="V15" s="66"/>
      <c r="W15" s="67"/>
      <c r="X15" s="67"/>
      <c r="Y15" s="97"/>
    </row>
    <row r="16" spans="1:25" s="1" customFormat="1" ht="16.5" thickBot="1" x14ac:dyDescent="0.3">
      <c r="A16" s="8">
        <v>10</v>
      </c>
      <c r="B16" s="134" t="s">
        <v>50</v>
      </c>
      <c r="C16" s="93" t="s">
        <v>51</v>
      </c>
      <c r="D16" s="71" t="s">
        <v>52</v>
      </c>
      <c r="E16" s="120" t="s">
        <v>38</v>
      </c>
      <c r="F16" s="120" t="s">
        <v>38</v>
      </c>
      <c r="G16" s="568">
        <v>52783092.840000004</v>
      </c>
      <c r="H16" s="122">
        <f t="shared" si="0"/>
        <v>6.8847113994922063E-2</v>
      </c>
      <c r="I16" s="531">
        <v>-1.5869999999999999E-2</v>
      </c>
      <c r="J16" s="136"/>
      <c r="K16" s="137"/>
      <c r="L16" s="138" t="s">
        <v>53</v>
      </c>
      <c r="M16" s="548">
        <v>7970993081.7200003</v>
      </c>
      <c r="N16" s="133">
        <f t="shared" si="1"/>
        <v>6.6218967070801093E-3</v>
      </c>
      <c r="O16" s="660"/>
      <c r="P16" s="663"/>
      <c r="Q16" s="665"/>
      <c r="R16" s="665"/>
      <c r="S16" s="677"/>
      <c r="T16" s="67"/>
      <c r="U16" s="67"/>
      <c r="V16" s="66"/>
      <c r="W16" s="67"/>
      <c r="X16" s="67"/>
      <c r="Y16" s="97"/>
    </row>
    <row r="17" spans="1:25" s="1" customFormat="1" ht="16.5" thickBot="1" x14ac:dyDescent="0.3">
      <c r="A17" s="8">
        <v>11</v>
      </c>
      <c r="B17" s="134" t="s">
        <v>50</v>
      </c>
      <c r="C17" s="93" t="s">
        <v>51</v>
      </c>
      <c r="D17" s="71" t="s">
        <v>54</v>
      </c>
      <c r="E17" s="120" t="s">
        <v>38</v>
      </c>
      <c r="F17" s="120" t="s">
        <v>38</v>
      </c>
      <c r="G17" s="568">
        <v>81185673.530000001</v>
      </c>
      <c r="H17" s="122">
        <f t="shared" si="0"/>
        <v>0.10589374399142232</v>
      </c>
      <c r="I17" s="531">
        <v>-1.9134999999999999E-2</v>
      </c>
      <c r="J17" s="136"/>
      <c r="K17" s="137"/>
      <c r="L17" s="138" t="s">
        <v>53</v>
      </c>
      <c r="M17" s="548">
        <v>2993117129.6599998</v>
      </c>
      <c r="N17" s="133">
        <f t="shared" si="1"/>
        <v>2.7124121781101899E-2</v>
      </c>
      <c r="O17" s="660"/>
      <c r="P17" s="663"/>
      <c r="Q17" s="665"/>
      <c r="R17" s="665"/>
      <c r="S17" s="677"/>
      <c r="T17" s="67"/>
      <c r="U17" s="67"/>
      <c r="V17" s="66"/>
      <c r="W17" s="67"/>
      <c r="X17" s="67"/>
      <c r="Y17" s="97"/>
    </row>
    <row r="18" spans="1:25" s="1" customFormat="1" ht="16.5" thickBot="1" x14ac:dyDescent="0.3">
      <c r="A18" s="8">
        <v>12</v>
      </c>
      <c r="B18" s="55" t="s">
        <v>55</v>
      </c>
      <c r="C18" s="105" t="s">
        <v>36</v>
      </c>
      <c r="D18" s="71" t="s">
        <v>56</v>
      </c>
      <c r="E18" s="140" t="s">
        <v>38</v>
      </c>
      <c r="F18" s="140" t="s">
        <v>39</v>
      </c>
      <c r="G18" s="565">
        <v>6933186.2300000004</v>
      </c>
      <c r="H18" s="122">
        <f t="shared" si="0"/>
        <v>9.0432340554910534E-3</v>
      </c>
      <c r="I18" s="531">
        <v>-1.5900000000000001E-2</v>
      </c>
      <c r="J18" s="143"/>
      <c r="K18" s="144"/>
      <c r="L18" s="145" t="s">
        <v>53</v>
      </c>
      <c r="M18" s="569">
        <v>1549175143.3199999</v>
      </c>
      <c r="N18" s="146">
        <f t="shared" si="1"/>
        <v>4.4754050307970056E-3</v>
      </c>
      <c r="O18" s="660"/>
      <c r="P18" s="663"/>
      <c r="Q18" s="665"/>
      <c r="R18" s="665"/>
      <c r="S18" s="677"/>
      <c r="T18" s="67"/>
      <c r="U18" s="67"/>
      <c r="V18" s="66"/>
      <c r="W18" s="67"/>
      <c r="X18" s="67"/>
      <c r="Y18" s="97"/>
    </row>
    <row r="19" spans="1:25" s="1" customFormat="1" ht="16.5" thickBot="1" x14ac:dyDescent="0.3">
      <c r="A19" s="217"/>
      <c r="B19" s="405" t="s">
        <v>173</v>
      </c>
      <c r="C19" s="406"/>
      <c r="D19" s="407"/>
      <c r="E19" s="408"/>
      <c r="F19" s="408"/>
      <c r="G19" s="387"/>
      <c r="H19" s="44"/>
      <c r="I19" s="44"/>
      <c r="J19" s="44"/>
      <c r="K19" s="378"/>
      <c r="L19" s="382"/>
      <c r="M19" s="375"/>
      <c r="N19" s="219"/>
      <c r="O19" s="376" t="s">
        <v>41</v>
      </c>
      <c r="P19" s="362">
        <v>0</v>
      </c>
      <c r="Q19" s="201">
        <v>1</v>
      </c>
      <c r="R19" s="103">
        <v>0</v>
      </c>
      <c r="S19" s="603" t="s">
        <v>168</v>
      </c>
      <c r="T19" s="67"/>
      <c r="U19" s="67"/>
      <c r="V19" s="66"/>
      <c r="W19" s="67"/>
      <c r="X19" s="67"/>
      <c r="Y19" s="97"/>
    </row>
    <row r="20" spans="1:25" s="1" customFormat="1" ht="16.5" thickBot="1" x14ac:dyDescent="0.3">
      <c r="A20" s="217"/>
      <c r="B20" s="405" t="s">
        <v>169</v>
      </c>
      <c r="C20" s="406"/>
      <c r="D20" s="409"/>
      <c r="E20" s="410"/>
      <c r="F20" s="410"/>
      <c r="G20" s="388"/>
      <c r="H20" s="44"/>
      <c r="I20" s="130"/>
      <c r="J20" s="130"/>
      <c r="K20" s="232"/>
      <c r="L20" s="126"/>
      <c r="M20" s="380"/>
      <c r="N20" s="263"/>
      <c r="O20" s="381" t="s">
        <v>41</v>
      </c>
      <c r="P20" s="384">
        <v>0</v>
      </c>
      <c r="Q20" s="200">
        <v>0.05</v>
      </c>
      <c r="R20" s="201">
        <v>0</v>
      </c>
      <c r="S20" s="202" t="s">
        <v>170</v>
      </c>
      <c r="T20" s="67"/>
      <c r="U20" s="67"/>
      <c r="V20" s="66"/>
      <c r="W20" s="67"/>
      <c r="X20" s="67"/>
      <c r="Y20" s="97"/>
    </row>
    <row r="21" spans="1:25" s="54" customFormat="1" ht="16.5" thickBot="1" x14ac:dyDescent="0.25">
      <c r="A21" s="40"/>
      <c r="B21" s="402" t="s">
        <v>171</v>
      </c>
      <c r="C21" s="403"/>
      <c r="D21" s="404"/>
      <c r="E21" s="404"/>
      <c r="F21" s="404"/>
      <c r="G21" s="43">
        <f xml:space="preserve"> SUM(G22:G25)</f>
        <v>147150257.58000001</v>
      </c>
      <c r="H21" s="44">
        <f>G21/$G$70</f>
        <v>0.19193400789722281</v>
      </c>
      <c r="I21" s="98"/>
      <c r="J21" s="45"/>
      <c r="K21" s="45"/>
      <c r="L21" s="383"/>
      <c r="M21" s="148"/>
      <c r="N21" s="149"/>
      <c r="O21" s="163"/>
      <c r="P21" s="386"/>
      <c r="Q21" s="605"/>
      <c r="R21" s="386"/>
      <c r="S21" s="152"/>
      <c r="T21" s="53"/>
      <c r="U21" s="53"/>
      <c r="V21" s="53"/>
      <c r="W21" s="53"/>
      <c r="X21" s="53"/>
      <c r="Y21" s="53"/>
    </row>
    <row r="22" spans="1:25" s="54" customFormat="1" ht="23.25" customHeight="1" thickBot="1" x14ac:dyDescent="0.25">
      <c r="A22" s="40"/>
      <c r="B22" s="117" t="s">
        <v>42</v>
      </c>
      <c r="C22" s="118" t="s">
        <v>43</v>
      </c>
      <c r="D22" s="57" t="s">
        <v>61</v>
      </c>
      <c r="E22" s="119" t="s">
        <v>38</v>
      </c>
      <c r="F22" s="119" t="s">
        <v>39</v>
      </c>
      <c r="G22" s="528">
        <v>21653543.399999999</v>
      </c>
      <c r="H22" s="122">
        <f>G22/$G$70</f>
        <v>2.824358882062418E-2</v>
      </c>
      <c r="I22" s="539">
        <v>-1.5664999999999998E-2</v>
      </c>
      <c r="J22" s="124"/>
      <c r="K22" s="125"/>
      <c r="L22" s="145" t="s">
        <v>53</v>
      </c>
      <c r="M22" s="547">
        <v>2288647358.1100001</v>
      </c>
      <c r="N22" s="128">
        <f>G22/M22</f>
        <v>9.4612843360376078E-3</v>
      </c>
      <c r="O22" s="715" t="s">
        <v>243</v>
      </c>
      <c r="P22" s="721">
        <f>SUM(G22:G25)/G70</f>
        <v>0.19193400789722281</v>
      </c>
      <c r="Q22" s="655">
        <v>0.6</v>
      </c>
      <c r="R22" s="655">
        <v>0.35</v>
      </c>
      <c r="S22" s="718" t="s">
        <v>244</v>
      </c>
      <c r="T22" s="53"/>
      <c r="U22" s="53"/>
      <c r="V22" s="53"/>
      <c r="W22" s="53"/>
      <c r="X22" s="53"/>
      <c r="Y22" s="53"/>
    </row>
    <row r="23" spans="1:25" s="54" customFormat="1" ht="16.5" customHeight="1" x14ac:dyDescent="0.2">
      <c r="A23" s="40"/>
      <c r="B23" s="55" t="s">
        <v>42</v>
      </c>
      <c r="C23" s="56" t="s">
        <v>43</v>
      </c>
      <c r="D23" s="57" t="s">
        <v>59</v>
      </c>
      <c r="E23" s="119" t="s">
        <v>38</v>
      </c>
      <c r="F23" s="129" t="s">
        <v>39</v>
      </c>
      <c r="G23" s="538">
        <v>51316086.509999998</v>
      </c>
      <c r="H23" s="82">
        <f>G23/$G$70</f>
        <v>6.6933638550447094E-2</v>
      </c>
      <c r="I23" s="531">
        <v>-3.1406999999999997E-2</v>
      </c>
      <c r="J23" s="124"/>
      <c r="K23" s="172"/>
      <c r="L23" s="132" t="s">
        <v>40</v>
      </c>
      <c r="M23" s="567">
        <v>995339470.07000005</v>
      </c>
      <c r="N23" s="133">
        <f>G23/M23</f>
        <v>5.1556366499151338E-2</v>
      </c>
      <c r="O23" s="716"/>
      <c r="P23" s="722"/>
      <c r="Q23" s="665"/>
      <c r="R23" s="665"/>
      <c r="S23" s="719"/>
      <c r="T23" s="53"/>
      <c r="U23" s="53"/>
      <c r="V23" s="53"/>
      <c r="W23" s="53"/>
      <c r="X23" s="53"/>
      <c r="Y23" s="53"/>
    </row>
    <row r="24" spans="1:25" s="54" customFormat="1" ht="16.5" customHeight="1" x14ac:dyDescent="0.2">
      <c r="A24" s="40"/>
      <c r="B24" s="55" t="s">
        <v>62</v>
      </c>
      <c r="C24" s="157" t="s">
        <v>63</v>
      </c>
      <c r="D24" s="158" t="s">
        <v>64</v>
      </c>
      <c r="E24" s="119" t="s">
        <v>38</v>
      </c>
      <c r="F24" s="119" t="s">
        <v>39</v>
      </c>
      <c r="G24" s="538">
        <v>46725826.490000002</v>
      </c>
      <c r="H24" s="73">
        <f>G24/$G$70</f>
        <v>6.094637751932043E-2</v>
      </c>
      <c r="I24" s="545">
        <v>-3.32E-2</v>
      </c>
      <c r="J24" s="390"/>
      <c r="K24" s="391"/>
      <c r="L24" s="160" t="s">
        <v>40</v>
      </c>
      <c r="M24" s="547">
        <v>1307948877.1099999</v>
      </c>
      <c r="N24" s="133">
        <f>G24/M24</f>
        <v>3.572450522167489E-2</v>
      </c>
      <c r="O24" s="716"/>
      <c r="P24" s="722"/>
      <c r="Q24" s="665"/>
      <c r="R24" s="665"/>
      <c r="S24" s="719"/>
      <c r="T24" s="53"/>
      <c r="U24" s="53"/>
      <c r="V24" s="53"/>
      <c r="W24" s="602"/>
      <c r="X24" s="53"/>
      <c r="Y24" s="53"/>
    </row>
    <row r="25" spans="1:25" s="54" customFormat="1" ht="16.5" customHeight="1" thickBot="1" x14ac:dyDescent="0.25">
      <c r="A25" s="40"/>
      <c r="B25" s="511" t="s">
        <v>62</v>
      </c>
      <c r="C25" s="157" t="s">
        <v>65</v>
      </c>
      <c r="D25" s="512" t="s">
        <v>66</v>
      </c>
      <c r="E25" s="389" t="s">
        <v>38</v>
      </c>
      <c r="F25" s="389" t="s">
        <v>39</v>
      </c>
      <c r="G25" s="544">
        <v>27454801.18</v>
      </c>
      <c r="H25" s="95">
        <f>G25/$G$70</f>
        <v>3.5810403006831089E-2</v>
      </c>
      <c r="I25" s="546">
        <v>-1.72E-2</v>
      </c>
      <c r="J25" s="196"/>
      <c r="K25" s="197"/>
      <c r="L25" s="374" t="s">
        <v>53</v>
      </c>
      <c r="M25" s="548">
        <v>559136229.24000001</v>
      </c>
      <c r="N25" s="146">
        <f>G25/M25</f>
        <v>4.9102168209199479E-2</v>
      </c>
      <c r="O25" s="717"/>
      <c r="P25" s="723"/>
      <c r="Q25" s="656"/>
      <c r="R25" s="656"/>
      <c r="S25" s="720"/>
      <c r="T25" s="53"/>
      <c r="U25" s="53"/>
      <c r="V25" s="53"/>
      <c r="W25" s="53"/>
      <c r="X25" s="53"/>
      <c r="Y25" s="53"/>
    </row>
    <row r="26" spans="1:25" s="1" customFormat="1" ht="16.5" thickBot="1" x14ac:dyDescent="0.3">
      <c r="A26" s="8"/>
      <c r="B26" s="411" t="s">
        <v>181</v>
      </c>
      <c r="C26" s="406"/>
      <c r="D26" s="412"/>
      <c r="E26" s="408"/>
      <c r="F26" s="410"/>
      <c r="G26" s="367"/>
      <c r="H26" s="393"/>
      <c r="I26" s="260"/>
      <c r="J26" s="260"/>
      <c r="K26" s="395"/>
      <c r="L26" s="368"/>
      <c r="M26" s="396"/>
      <c r="N26" s="44"/>
      <c r="O26" s="385" t="s">
        <v>172</v>
      </c>
      <c r="P26" s="384">
        <v>0</v>
      </c>
      <c r="Q26" s="201">
        <v>0.6</v>
      </c>
      <c r="R26" s="604">
        <v>0</v>
      </c>
      <c r="S26" s="379" t="s">
        <v>180</v>
      </c>
      <c r="T26" s="162"/>
      <c r="U26" s="67"/>
      <c r="V26" s="66"/>
      <c r="W26" s="66"/>
      <c r="X26" s="66"/>
      <c r="Y26" s="68"/>
    </row>
    <row r="27" spans="1:25" s="54" customFormat="1" ht="16.5" thickBot="1" x14ac:dyDescent="0.25">
      <c r="A27" s="40"/>
      <c r="B27" s="402" t="s">
        <v>176</v>
      </c>
      <c r="C27" s="403"/>
      <c r="D27" s="404"/>
      <c r="E27" s="404"/>
      <c r="F27" s="404"/>
      <c r="G27" s="397">
        <f>SUM(G28:G33)</f>
        <v>64319350.430000007</v>
      </c>
      <c r="H27" s="260">
        <f t="shared" ref="H27:H33" si="2">G27/$G$70</f>
        <v>8.3894319428318473E-2</v>
      </c>
      <c r="I27" s="392"/>
      <c r="J27" s="99"/>
      <c r="K27" s="187"/>
      <c r="L27" s="45"/>
      <c r="M27" s="148"/>
      <c r="N27" s="149"/>
      <c r="O27" s="42"/>
      <c r="P27" s="605"/>
      <c r="Q27" s="605"/>
      <c r="R27" s="606"/>
      <c r="S27" s="163"/>
      <c r="T27" s="53"/>
      <c r="U27" s="53"/>
      <c r="V27" s="53"/>
      <c r="W27" s="53"/>
      <c r="X27" s="53"/>
      <c r="Y27" s="53"/>
    </row>
    <row r="28" spans="1:25" s="1" customFormat="1" ht="15.75" x14ac:dyDescent="0.25">
      <c r="A28" s="8">
        <v>19</v>
      </c>
      <c r="B28" s="55" t="s">
        <v>72</v>
      </c>
      <c r="C28" s="157" t="s">
        <v>68</v>
      </c>
      <c r="D28" s="71" t="s">
        <v>73</v>
      </c>
      <c r="E28" s="140" t="s">
        <v>70</v>
      </c>
      <c r="F28" s="140" t="s">
        <v>74</v>
      </c>
      <c r="G28" s="565">
        <v>641941.01</v>
      </c>
      <c r="H28" s="164">
        <f t="shared" si="2"/>
        <v>8.3730951551957988E-4</v>
      </c>
      <c r="I28" s="526">
        <v>4.3E-3</v>
      </c>
      <c r="J28" s="124"/>
      <c r="K28" s="144"/>
      <c r="L28" s="145" t="s">
        <v>71</v>
      </c>
      <c r="M28" s="566">
        <v>8259624678.1499996</v>
      </c>
      <c r="N28" s="133">
        <f t="shared" ref="N28:N33" si="3">G28/M28</f>
        <v>7.7720360792929232E-5</v>
      </c>
      <c r="O28" s="659" t="s">
        <v>172</v>
      </c>
      <c r="P28" s="662">
        <f>SUM(G28:G33)/G70</f>
        <v>8.3894319428318473E-2</v>
      </c>
      <c r="Q28" s="655">
        <v>0.4</v>
      </c>
      <c r="R28" s="655">
        <v>0.3</v>
      </c>
      <c r="S28" s="657" t="s">
        <v>177</v>
      </c>
      <c r="T28" s="67"/>
      <c r="U28" s="67"/>
      <c r="V28" s="66"/>
      <c r="W28" s="67"/>
      <c r="X28" s="67"/>
      <c r="Y28" s="97"/>
    </row>
    <row r="29" spans="1:25" s="1" customFormat="1" ht="15.75" x14ac:dyDescent="0.25">
      <c r="A29" s="8"/>
      <c r="B29" s="55" t="s">
        <v>72</v>
      </c>
      <c r="C29" s="157" t="s">
        <v>68</v>
      </c>
      <c r="D29" s="71" t="s">
        <v>69</v>
      </c>
      <c r="E29" s="140" t="s">
        <v>70</v>
      </c>
      <c r="F29" s="140" t="s">
        <v>70</v>
      </c>
      <c r="G29" s="565">
        <v>216369</v>
      </c>
      <c r="H29" s="164">
        <f t="shared" si="2"/>
        <v>2.8221880163639332E-4</v>
      </c>
      <c r="I29" s="526">
        <v>5.0000000000000001E-3</v>
      </c>
      <c r="J29" s="171"/>
      <c r="K29" s="172"/>
      <c r="L29" s="145" t="s">
        <v>71</v>
      </c>
      <c r="M29" s="566">
        <v>6823037381.7600002</v>
      </c>
      <c r="N29" s="133">
        <f t="shared" si="3"/>
        <v>3.1711536650585917E-5</v>
      </c>
      <c r="O29" s="660"/>
      <c r="P29" s="663"/>
      <c r="Q29" s="665"/>
      <c r="R29" s="665"/>
      <c r="S29" s="677"/>
      <c r="T29" s="67"/>
      <c r="U29" s="67"/>
      <c r="V29" s="66"/>
      <c r="W29" s="67"/>
      <c r="X29" s="67"/>
      <c r="Y29" s="97"/>
    </row>
    <row r="30" spans="1:25" s="1" customFormat="1" ht="16.5" thickBot="1" x14ac:dyDescent="0.3">
      <c r="A30" s="8">
        <v>21</v>
      </c>
      <c r="B30" s="173" t="s">
        <v>75</v>
      </c>
      <c r="C30" s="174"/>
      <c r="D30" s="175" t="s">
        <v>76</v>
      </c>
      <c r="E30" s="140" t="s">
        <v>38</v>
      </c>
      <c r="F30" s="129" t="s">
        <v>39</v>
      </c>
      <c r="G30" s="538">
        <v>16230171.890000001</v>
      </c>
      <c r="H30" s="176">
        <f t="shared" si="2"/>
        <v>2.1169666916926531E-2</v>
      </c>
      <c r="I30" s="540">
        <v>-2.5000000000000001E-3</v>
      </c>
      <c r="J30" s="177"/>
      <c r="K30" s="178"/>
      <c r="L30" s="126" t="s">
        <v>71</v>
      </c>
      <c r="M30" s="541">
        <v>220096190.69</v>
      </c>
      <c r="N30" s="133">
        <f t="shared" si="3"/>
        <v>7.3741266666717528E-2</v>
      </c>
      <c r="O30" s="660"/>
      <c r="P30" s="663"/>
      <c r="Q30" s="665"/>
      <c r="R30" s="665"/>
      <c r="S30" s="677"/>
      <c r="T30" s="67"/>
      <c r="U30" s="67"/>
      <c r="V30" s="66"/>
      <c r="W30" s="67"/>
      <c r="X30" s="67"/>
      <c r="Y30" s="97"/>
    </row>
    <row r="31" spans="1:25" s="1" customFormat="1" ht="16.5" thickBot="1" x14ac:dyDescent="0.3">
      <c r="A31" s="8">
        <v>22</v>
      </c>
      <c r="B31" s="55" t="s">
        <v>55</v>
      </c>
      <c r="C31" s="105" t="s">
        <v>77</v>
      </c>
      <c r="D31" s="71" t="s">
        <v>78</v>
      </c>
      <c r="E31" s="140" t="s">
        <v>38</v>
      </c>
      <c r="F31" s="140" t="s">
        <v>38</v>
      </c>
      <c r="G31" s="565">
        <v>6439626.4400000004</v>
      </c>
      <c r="H31" s="142">
        <f t="shared" si="2"/>
        <v>8.3994641417339533E-3</v>
      </c>
      <c r="I31" s="531">
        <v>5.0000000000000001E-3</v>
      </c>
      <c r="J31" s="143"/>
      <c r="K31" s="144"/>
      <c r="L31" s="126" t="s">
        <v>71</v>
      </c>
      <c r="M31" s="569">
        <v>11178643343.379999</v>
      </c>
      <c r="N31" s="133">
        <f t="shared" si="3"/>
        <v>5.7606511292924935E-4</v>
      </c>
      <c r="O31" s="660"/>
      <c r="P31" s="663"/>
      <c r="Q31" s="665"/>
      <c r="R31" s="665"/>
      <c r="S31" s="677"/>
      <c r="T31" s="67"/>
      <c r="U31" s="67"/>
      <c r="V31" s="66"/>
      <c r="W31" s="67"/>
      <c r="X31" s="67"/>
      <c r="Y31" s="97"/>
    </row>
    <row r="32" spans="1:25" s="1" customFormat="1" ht="15.75" x14ac:dyDescent="0.25">
      <c r="A32" s="8">
        <v>23</v>
      </c>
      <c r="B32" s="55" t="s">
        <v>55</v>
      </c>
      <c r="C32" s="105" t="s">
        <v>36</v>
      </c>
      <c r="D32" s="71" t="s">
        <v>79</v>
      </c>
      <c r="E32" s="140" t="s">
        <v>38</v>
      </c>
      <c r="F32" s="140" t="s">
        <v>39</v>
      </c>
      <c r="G32" s="565">
        <v>26783763.460000001</v>
      </c>
      <c r="H32" s="142">
        <f t="shared" si="2"/>
        <v>3.4935141480497756E-2</v>
      </c>
      <c r="I32" s="531">
        <v>-3.5000000000000001E-3</v>
      </c>
      <c r="J32" s="143"/>
      <c r="K32" s="144"/>
      <c r="L32" s="145" t="s">
        <v>80</v>
      </c>
      <c r="M32" s="569">
        <v>1490374454.0699999</v>
      </c>
      <c r="N32" s="133">
        <f t="shared" si="3"/>
        <v>1.7971163815145491E-2</v>
      </c>
      <c r="O32" s="660"/>
      <c r="P32" s="663"/>
      <c r="Q32" s="665"/>
      <c r="R32" s="665"/>
      <c r="S32" s="677"/>
      <c r="T32" s="67"/>
      <c r="U32" s="67"/>
      <c r="V32" s="66"/>
      <c r="W32" s="67"/>
      <c r="X32" s="67"/>
      <c r="Y32" s="97"/>
    </row>
    <row r="33" spans="1:25" s="1" customFormat="1" ht="16.5" thickBot="1" x14ac:dyDescent="0.3">
      <c r="A33" s="8">
        <v>24</v>
      </c>
      <c r="B33" s="173" t="s">
        <v>62</v>
      </c>
      <c r="C33" s="180"/>
      <c r="D33" s="505" t="s">
        <v>81</v>
      </c>
      <c r="E33" s="129" t="s">
        <v>38</v>
      </c>
      <c r="F33" s="209" t="s">
        <v>38</v>
      </c>
      <c r="G33" s="529">
        <v>14007478.630000001</v>
      </c>
      <c r="H33" s="506">
        <f t="shared" si="2"/>
        <v>1.8270518572004252E-2</v>
      </c>
      <c r="I33" s="540">
        <v>5.0000000000000001E-3</v>
      </c>
      <c r="J33" s="211"/>
      <c r="K33" s="232"/>
      <c r="L33" s="126" t="s">
        <v>71</v>
      </c>
      <c r="M33" s="541">
        <v>8865667473.8700008</v>
      </c>
      <c r="N33" s="146">
        <f t="shared" si="3"/>
        <v>1.5799688710731127E-3</v>
      </c>
      <c r="O33" s="661"/>
      <c r="P33" s="664"/>
      <c r="Q33" s="656"/>
      <c r="R33" s="656"/>
      <c r="S33" s="658"/>
      <c r="T33" s="67"/>
      <c r="U33" s="67"/>
      <c r="V33" s="66"/>
      <c r="W33" s="67"/>
      <c r="X33" s="67"/>
      <c r="Y33" s="97"/>
    </row>
    <row r="34" spans="1:25" s="1" customFormat="1" ht="16.5" thickBot="1" x14ac:dyDescent="0.3">
      <c r="A34" s="8"/>
      <c r="B34" s="414" t="s">
        <v>178</v>
      </c>
      <c r="C34" s="406"/>
      <c r="D34" s="409"/>
      <c r="E34" s="413"/>
      <c r="F34" s="413"/>
      <c r="G34" s="387"/>
      <c r="H34" s="260"/>
      <c r="I34" s="44"/>
      <c r="J34" s="260"/>
      <c r="K34" s="183"/>
      <c r="L34" s="398"/>
      <c r="M34" s="507"/>
      <c r="N34" s="508"/>
      <c r="O34" s="400" t="s">
        <v>60</v>
      </c>
      <c r="P34" s="384">
        <v>0</v>
      </c>
      <c r="Q34" s="200">
        <v>0.4</v>
      </c>
      <c r="R34" s="201">
        <v>0</v>
      </c>
      <c r="S34" s="202" t="s">
        <v>179</v>
      </c>
      <c r="T34" s="67"/>
      <c r="U34" s="67"/>
      <c r="V34" s="66"/>
      <c r="W34" s="67"/>
      <c r="X34" s="67"/>
      <c r="Y34" s="97"/>
    </row>
    <row r="35" spans="1:25" s="1" customFormat="1" ht="16.5" thickBot="1" x14ac:dyDescent="0.3">
      <c r="A35" s="8"/>
      <c r="B35" s="503" t="s">
        <v>182</v>
      </c>
      <c r="C35" s="406"/>
      <c r="D35" s="504"/>
      <c r="E35" s="413"/>
      <c r="F35" s="413"/>
      <c r="G35" s="387"/>
      <c r="H35" s="260"/>
      <c r="I35" s="44"/>
      <c r="J35" s="260"/>
      <c r="K35" s="183"/>
      <c r="L35" s="398"/>
      <c r="M35" s="185"/>
      <c r="N35" s="260"/>
      <c r="O35" s="399" t="s">
        <v>60</v>
      </c>
      <c r="P35" s="384">
        <v>0</v>
      </c>
      <c r="Q35" s="201">
        <v>0.2</v>
      </c>
      <c r="R35" s="103">
        <v>0</v>
      </c>
      <c r="S35" s="202" t="s">
        <v>183</v>
      </c>
      <c r="T35" s="67"/>
      <c r="U35" s="67"/>
      <c r="V35" s="66"/>
      <c r="W35" s="67"/>
      <c r="X35" s="67"/>
      <c r="Y35" s="97"/>
    </row>
    <row r="36" spans="1:25" s="1" customFormat="1" ht="16.5" thickBot="1" x14ac:dyDescent="0.3">
      <c r="A36" s="8"/>
      <c r="B36" s="411" t="s">
        <v>184</v>
      </c>
      <c r="C36" s="406"/>
      <c r="D36" s="504"/>
      <c r="E36" s="413"/>
      <c r="F36" s="413"/>
      <c r="G36" s="377"/>
      <c r="H36" s="260"/>
      <c r="I36" s="44"/>
      <c r="J36" s="260"/>
      <c r="K36" s="183"/>
      <c r="L36" s="398"/>
      <c r="M36" s="185"/>
      <c r="N36" s="260"/>
      <c r="O36" s="369" t="s">
        <v>60</v>
      </c>
      <c r="P36" s="362">
        <v>0</v>
      </c>
      <c r="Q36" s="102">
        <v>0.15</v>
      </c>
      <c r="R36" s="103">
        <v>0</v>
      </c>
      <c r="S36" s="202" t="s">
        <v>186</v>
      </c>
      <c r="T36" s="67"/>
      <c r="U36" s="67"/>
      <c r="V36" s="66"/>
      <c r="W36" s="67"/>
      <c r="X36" s="67"/>
      <c r="Y36" s="97"/>
    </row>
    <row r="37" spans="1:25" s="1" customFormat="1" ht="16.5" thickBot="1" x14ac:dyDescent="0.3">
      <c r="A37" s="8"/>
      <c r="B37" s="411" t="s">
        <v>185</v>
      </c>
      <c r="C37" s="509"/>
      <c r="D37" s="504"/>
      <c r="E37" s="413"/>
      <c r="F37" s="413"/>
      <c r="G37" s="377"/>
      <c r="H37" s="260"/>
      <c r="I37" s="44"/>
      <c r="J37" s="260"/>
      <c r="K37" s="183"/>
      <c r="L37" s="398"/>
      <c r="M37" s="185"/>
      <c r="N37" s="260"/>
      <c r="O37" s="369" t="s">
        <v>60</v>
      </c>
      <c r="P37" s="362">
        <v>0</v>
      </c>
      <c r="Q37" s="102">
        <v>0.15</v>
      </c>
      <c r="R37" s="103">
        <v>0</v>
      </c>
      <c r="S37" s="202" t="s">
        <v>187</v>
      </c>
      <c r="T37" s="67"/>
      <c r="U37" s="67"/>
      <c r="V37" s="66"/>
      <c r="W37" s="67"/>
      <c r="X37" s="67"/>
      <c r="Y37" s="97"/>
    </row>
    <row r="38" spans="1:25" s="54" customFormat="1" ht="16.5" thickBot="1" x14ac:dyDescent="0.25">
      <c r="A38" s="40"/>
      <c r="B38" s="510" t="s">
        <v>188</v>
      </c>
      <c r="C38" s="403"/>
      <c r="D38" s="404"/>
      <c r="E38" s="404"/>
      <c r="F38" s="404"/>
      <c r="G38" s="43">
        <f>SUM(G39:G41)</f>
        <v>7178505.25</v>
      </c>
      <c r="H38" s="44">
        <f>G38/$G$70</f>
        <v>9.3632135342658039E-3</v>
      </c>
      <c r="I38" s="98"/>
      <c r="J38" s="45"/>
      <c r="K38" s="45"/>
      <c r="L38" s="187"/>
      <c r="M38" s="188"/>
      <c r="N38" s="189"/>
      <c r="O38" s="190"/>
      <c r="P38" s="191"/>
      <c r="Q38" s="605"/>
      <c r="R38" s="606"/>
      <c r="S38" s="152"/>
      <c r="T38" s="53"/>
      <c r="U38" s="53"/>
      <c r="V38" s="53"/>
      <c r="W38" s="53"/>
      <c r="X38" s="53"/>
      <c r="Y38" s="53"/>
    </row>
    <row r="39" spans="1:25" s="1" customFormat="1" ht="16.5" thickBot="1" x14ac:dyDescent="0.3">
      <c r="A39" s="8">
        <v>25</v>
      </c>
      <c r="B39" s="104" t="s">
        <v>82</v>
      </c>
      <c r="C39" s="118"/>
      <c r="D39" s="208" t="s">
        <v>83</v>
      </c>
      <c r="E39" s="120" t="s">
        <v>84</v>
      </c>
      <c r="F39" s="120" t="s">
        <v>85</v>
      </c>
      <c r="G39" s="559">
        <v>7096447.3099999996</v>
      </c>
      <c r="H39" s="225">
        <f>G39/$G$70</f>
        <v>9.2561820579843083E-3</v>
      </c>
      <c r="I39" s="545">
        <v>6.1000000000000004E-3</v>
      </c>
      <c r="J39" s="234"/>
      <c r="K39" s="429"/>
      <c r="L39" s="126" t="s">
        <v>71</v>
      </c>
      <c r="M39" s="78">
        <v>562011411.71000004</v>
      </c>
      <c r="N39" s="216">
        <f>G39/M39</f>
        <v>1.2626874049421958E-2</v>
      </c>
      <c r="O39" s="698" t="s">
        <v>60</v>
      </c>
      <c r="P39" s="662">
        <f>SUM(G39:G41)/G70</f>
        <v>9.3632135342658039E-3</v>
      </c>
      <c r="Q39" s="701">
        <v>0.05</v>
      </c>
      <c r="R39" s="675">
        <v>0.02</v>
      </c>
      <c r="S39" s="657" t="s">
        <v>193</v>
      </c>
      <c r="T39" s="67"/>
      <c r="U39" s="67"/>
      <c r="V39" s="67"/>
      <c r="W39" s="67"/>
      <c r="X39" s="66"/>
      <c r="Y39" s="68"/>
    </row>
    <row r="40" spans="1:25" s="1" customFormat="1" ht="15.75" customHeight="1" x14ac:dyDescent="0.25">
      <c r="A40" s="8">
        <v>26</v>
      </c>
      <c r="B40" s="117" t="s">
        <v>86</v>
      </c>
      <c r="C40" s="105" t="s">
        <v>87</v>
      </c>
      <c r="D40" s="71" t="s">
        <v>88</v>
      </c>
      <c r="E40" s="129" t="s">
        <v>89</v>
      </c>
      <c r="F40" s="129" t="s">
        <v>89</v>
      </c>
      <c r="G40" s="538">
        <v>38451.86</v>
      </c>
      <c r="H40" s="82">
        <f>G40/$G$70</f>
        <v>5.0154309766604119E-5</v>
      </c>
      <c r="I40" s="576">
        <v>1.1999999999999999E-3</v>
      </c>
      <c r="J40" s="124"/>
      <c r="K40" s="430"/>
      <c r="L40" s="132" t="s">
        <v>71</v>
      </c>
      <c r="M40" s="567">
        <v>897211.6</v>
      </c>
      <c r="N40" s="133">
        <f>G40/M40</f>
        <v>4.2857069614347383E-2</v>
      </c>
      <c r="O40" s="699"/>
      <c r="P40" s="663"/>
      <c r="Q40" s="702"/>
      <c r="R40" s="697"/>
      <c r="S40" s="677"/>
      <c r="T40" s="67"/>
      <c r="U40" s="67"/>
      <c r="V40" s="66"/>
      <c r="W40" s="67"/>
      <c r="X40" s="66"/>
      <c r="Y40" s="68"/>
    </row>
    <row r="41" spans="1:25" s="1" customFormat="1" ht="16.5" thickBot="1" x14ac:dyDescent="0.3">
      <c r="A41" s="8">
        <v>27</v>
      </c>
      <c r="B41" s="192" t="s">
        <v>90</v>
      </c>
      <c r="C41" s="118"/>
      <c r="D41" s="92" t="s">
        <v>91</v>
      </c>
      <c r="E41" s="193" t="s">
        <v>89</v>
      </c>
      <c r="F41" s="193" t="s">
        <v>89</v>
      </c>
      <c r="G41" s="575">
        <v>43606.080000000002</v>
      </c>
      <c r="H41" s="195">
        <f>G41/$G$70</f>
        <v>5.6877166514892144E-5</v>
      </c>
      <c r="I41" s="577">
        <v>-7.8200000000000006E-2</v>
      </c>
      <c r="J41" s="161"/>
      <c r="K41" s="204"/>
      <c r="L41" s="184" t="s">
        <v>71</v>
      </c>
      <c r="M41" s="198">
        <v>950602.02</v>
      </c>
      <c r="N41" s="186">
        <f>G41/M41</f>
        <v>4.5872067471516627E-2</v>
      </c>
      <c r="O41" s="700"/>
      <c r="P41" s="664"/>
      <c r="Q41" s="703"/>
      <c r="R41" s="676"/>
      <c r="S41" s="658"/>
      <c r="T41" s="67"/>
      <c r="U41" s="67"/>
      <c r="V41" s="66"/>
      <c r="W41" s="67"/>
      <c r="X41" s="66"/>
      <c r="Y41" s="68"/>
    </row>
    <row r="42" spans="1:25" s="1" customFormat="1" ht="16.5" thickBot="1" x14ac:dyDescent="0.3">
      <c r="A42" s="8"/>
      <c r="B42" s="414" t="s">
        <v>189</v>
      </c>
      <c r="C42" s="406"/>
      <c r="D42" s="415"/>
      <c r="E42" s="413"/>
      <c r="F42" s="413"/>
      <c r="G42" s="366"/>
      <c r="H42" s="260"/>
      <c r="I42" s="401"/>
      <c r="J42" s="260"/>
      <c r="K42" s="183"/>
      <c r="L42" s="398"/>
      <c r="M42" s="185"/>
      <c r="N42" s="44"/>
      <c r="O42" s="392" t="s">
        <v>60</v>
      </c>
      <c r="P42" s="384">
        <v>0</v>
      </c>
      <c r="Q42" s="200">
        <v>0.05</v>
      </c>
      <c r="R42" s="201">
        <v>0.01</v>
      </c>
      <c r="S42" s="603" t="s">
        <v>191</v>
      </c>
      <c r="T42" s="67"/>
      <c r="U42" s="67"/>
      <c r="V42" s="66"/>
      <c r="W42" s="67"/>
      <c r="X42" s="66"/>
      <c r="Y42" s="68"/>
    </row>
    <row r="43" spans="1:25" s="1" customFormat="1" ht="16.5" thickBot="1" x14ac:dyDescent="0.3">
      <c r="A43" s="8"/>
      <c r="B43" s="414" t="s">
        <v>190</v>
      </c>
      <c r="C43" s="406"/>
      <c r="D43" s="415"/>
      <c r="E43" s="413"/>
      <c r="F43" s="413"/>
      <c r="G43" s="366"/>
      <c r="H43" s="260"/>
      <c r="I43" s="401"/>
      <c r="J43" s="260"/>
      <c r="K43" s="183"/>
      <c r="L43" s="398"/>
      <c r="M43" s="185"/>
      <c r="N43" s="260"/>
      <c r="O43" s="392" t="s">
        <v>60</v>
      </c>
      <c r="P43" s="384">
        <v>0</v>
      </c>
      <c r="Q43" s="200">
        <v>0.05</v>
      </c>
      <c r="R43" s="201">
        <v>0</v>
      </c>
      <c r="S43" s="603" t="s">
        <v>192</v>
      </c>
      <c r="T43" s="67"/>
      <c r="U43" s="67"/>
      <c r="V43" s="66"/>
      <c r="W43" s="67"/>
      <c r="X43" s="66"/>
      <c r="Y43" s="68"/>
    </row>
    <row r="44" spans="1:25" s="54" customFormat="1" ht="16.5" thickBot="1" x14ac:dyDescent="0.25">
      <c r="A44" s="40"/>
      <c r="B44" s="402" t="s">
        <v>194</v>
      </c>
      <c r="C44" s="403"/>
      <c r="D44" s="404"/>
      <c r="E44" s="404"/>
      <c r="F44" s="404"/>
      <c r="G44" s="43">
        <f>SUM(G45:G46)</f>
        <v>57849211.390000001</v>
      </c>
      <c r="H44" s="44">
        <f t="shared" ref="H44:H54" si="4">G44/$G$70</f>
        <v>7.545505647341437E-2</v>
      </c>
      <c r="I44" s="98"/>
      <c r="J44" s="45"/>
      <c r="K44" s="45"/>
      <c r="L44" s="45"/>
      <c r="M44" s="148"/>
      <c r="N44" s="101"/>
      <c r="O44" s="42"/>
      <c r="P44" s="205">
        <f>SUM((G4+G11+G21+G27+G38)/G70)*100</f>
        <v>79.603251215126704</v>
      </c>
      <c r="Q44" s="50"/>
      <c r="R44" s="606"/>
      <c r="S44" s="152"/>
      <c r="T44" s="53"/>
      <c r="U44" s="53"/>
      <c r="V44" s="53"/>
      <c r="W44" s="53"/>
      <c r="X44" s="53"/>
      <c r="Y44" s="53"/>
    </row>
    <row r="45" spans="1:25" s="1" customFormat="1" ht="15.75" x14ac:dyDescent="0.25">
      <c r="A45" s="8">
        <v>28</v>
      </c>
      <c r="B45" s="206" t="s">
        <v>55</v>
      </c>
      <c r="C45" s="207"/>
      <c r="D45" s="208" t="s">
        <v>92</v>
      </c>
      <c r="E45" s="209" t="s">
        <v>93</v>
      </c>
      <c r="F45" s="209" t="s">
        <v>94</v>
      </c>
      <c r="G45" s="571">
        <v>35955906.539999999</v>
      </c>
      <c r="H45" s="82">
        <f t="shared" si="4"/>
        <v>4.6898737136414903E-2</v>
      </c>
      <c r="I45" s="551">
        <v>-9.2899999999999996E-2</v>
      </c>
      <c r="J45" s="112"/>
      <c r="K45" s="125"/>
      <c r="L45" s="145" t="s">
        <v>95</v>
      </c>
      <c r="M45" s="572">
        <v>696540366.34000003</v>
      </c>
      <c r="N45" s="434">
        <f>G45/M45</f>
        <v>5.1620707539078874E-2</v>
      </c>
      <c r="O45" s="711" t="s">
        <v>96</v>
      </c>
      <c r="P45" s="680">
        <f>(SUM(G45:G46)/G70)</f>
        <v>7.545505647341437E-2</v>
      </c>
      <c r="Q45" s="655">
        <v>0.3</v>
      </c>
      <c r="R45" s="655">
        <v>0.15</v>
      </c>
      <c r="S45" s="666" t="s">
        <v>196</v>
      </c>
      <c r="T45" s="67"/>
      <c r="U45" s="67"/>
      <c r="V45" s="66"/>
      <c r="W45" s="67"/>
      <c r="X45" s="67"/>
      <c r="Y45" s="212"/>
    </row>
    <row r="46" spans="1:25" s="1" customFormat="1" ht="16.5" thickBot="1" x14ac:dyDescent="0.3">
      <c r="A46" s="8"/>
      <c r="B46" s="245" t="s">
        <v>116</v>
      </c>
      <c r="C46" s="92" t="s">
        <v>100</v>
      </c>
      <c r="D46" s="549" t="s">
        <v>235</v>
      </c>
      <c r="E46" s="120" t="s">
        <v>39</v>
      </c>
      <c r="F46" s="120" t="s">
        <v>94</v>
      </c>
      <c r="G46" s="525">
        <v>21893304.850000001</v>
      </c>
      <c r="H46" s="240">
        <f t="shared" si="4"/>
        <v>2.8556319336999467E-2</v>
      </c>
      <c r="I46" s="555">
        <v>8.6999999999999994E-2</v>
      </c>
      <c r="J46" s="171"/>
      <c r="K46" s="552"/>
      <c r="L46" s="248" t="s">
        <v>236</v>
      </c>
      <c r="M46" s="556">
        <v>322943648.32999998</v>
      </c>
      <c r="N46" s="553">
        <f t="shared" ref="N46" si="5">G46/M46</f>
        <v>6.7792956954608768E-2</v>
      </c>
      <c r="O46" s="713"/>
      <c r="P46" s="714"/>
      <c r="Q46" s="656"/>
      <c r="R46" s="656"/>
      <c r="S46" s="668"/>
      <c r="T46" s="554"/>
      <c r="U46" s="67"/>
      <c r="V46" s="66"/>
      <c r="W46" s="67"/>
      <c r="X46" s="67"/>
      <c r="Y46" s="212"/>
    </row>
    <row r="47" spans="1:25" s="1" customFormat="1" ht="16.5" thickBot="1" x14ac:dyDescent="0.3">
      <c r="A47" s="217"/>
      <c r="B47" s="402" t="s">
        <v>199</v>
      </c>
      <c r="C47" s="403"/>
      <c r="D47" s="404"/>
      <c r="E47" s="404"/>
      <c r="F47" s="404"/>
      <c r="G47" s="43">
        <f>SUM(G48)</f>
        <v>0</v>
      </c>
      <c r="H47" s="219">
        <f t="shared" si="4"/>
        <v>0</v>
      </c>
      <c r="I47" s="98"/>
      <c r="J47" s="45"/>
      <c r="K47" s="45"/>
      <c r="L47" s="45"/>
      <c r="M47" s="148"/>
      <c r="N47" s="149"/>
      <c r="O47" s="42"/>
      <c r="P47" s="191"/>
      <c r="Q47" s="605"/>
      <c r="R47" s="254"/>
      <c r="S47" s="220"/>
      <c r="T47" s="67"/>
      <c r="U47" s="67"/>
      <c r="V47" s="66"/>
      <c r="W47" s="67"/>
      <c r="X47" s="67"/>
      <c r="Y47" s="212"/>
    </row>
    <row r="48" spans="1:25" s="1" customFormat="1" ht="16.5" thickBot="1" x14ac:dyDescent="0.3">
      <c r="A48" s="217">
        <v>31</v>
      </c>
      <c r="B48" s="221" t="s">
        <v>50</v>
      </c>
      <c r="C48" s="118"/>
      <c r="D48" s="222" t="s">
        <v>101</v>
      </c>
      <c r="E48" s="223" t="s">
        <v>39</v>
      </c>
      <c r="F48" s="129" t="s">
        <v>49</v>
      </c>
      <c r="G48" s="224">
        <v>0</v>
      </c>
      <c r="H48" s="225">
        <f t="shared" si="4"/>
        <v>0</v>
      </c>
      <c r="I48" s="74">
        <v>0</v>
      </c>
      <c r="J48" s="171"/>
      <c r="K48" s="226"/>
      <c r="L48" s="145" t="s">
        <v>95</v>
      </c>
      <c r="M48" s="214">
        <v>0</v>
      </c>
      <c r="N48" s="216">
        <v>0</v>
      </c>
      <c r="O48" s="227" t="s">
        <v>96</v>
      </c>
      <c r="P48" s="228">
        <f>G48/G70</f>
        <v>0</v>
      </c>
      <c r="Q48" s="229">
        <v>0.3</v>
      </c>
      <c r="R48" s="230">
        <v>0.02</v>
      </c>
      <c r="S48" s="603" t="s">
        <v>195</v>
      </c>
      <c r="T48" s="67"/>
      <c r="U48" s="67"/>
      <c r="V48" s="66"/>
      <c r="W48" s="67"/>
      <c r="X48" s="67"/>
      <c r="Y48" s="212"/>
    </row>
    <row r="49" spans="1:25" s="54" customFormat="1" ht="16.5" thickBot="1" x14ac:dyDescent="0.25">
      <c r="A49" s="40"/>
      <c r="B49" s="402" t="s">
        <v>197</v>
      </c>
      <c r="C49" s="403"/>
      <c r="D49" s="404"/>
      <c r="E49" s="404"/>
      <c r="F49" s="404"/>
      <c r="G49" s="43">
        <f>SUM(G50:G54)</f>
        <v>60106643.700000003</v>
      </c>
      <c r="H49" s="44">
        <f t="shared" si="4"/>
        <v>7.8399516360475249E-2</v>
      </c>
      <c r="I49" s="98"/>
      <c r="J49" s="29"/>
      <c r="K49" s="45"/>
      <c r="L49" s="45"/>
      <c r="M49" s="148"/>
      <c r="N49" s="149"/>
      <c r="O49" s="41"/>
      <c r="P49" s="49"/>
      <c r="Q49" s="50"/>
      <c r="R49" s="49"/>
      <c r="S49" s="516"/>
      <c r="T49" s="53"/>
      <c r="U49" s="53"/>
      <c r="V49" s="53"/>
      <c r="W49" s="53"/>
      <c r="X49" s="53"/>
      <c r="Y49" s="53"/>
    </row>
    <row r="50" spans="1:25" s="1" customFormat="1" ht="15.75" x14ac:dyDescent="0.25">
      <c r="A50" s="8">
        <v>34</v>
      </c>
      <c r="B50" s="55" t="s">
        <v>107</v>
      </c>
      <c r="C50" s="231"/>
      <c r="D50" s="71" t="s">
        <v>108</v>
      </c>
      <c r="E50" s="140" t="s">
        <v>39</v>
      </c>
      <c r="F50" s="140" t="s">
        <v>49</v>
      </c>
      <c r="G50" s="538">
        <v>9009457.2200000007</v>
      </c>
      <c r="H50" s="82">
        <f t="shared" si="4"/>
        <v>1.1751397936038672E-2</v>
      </c>
      <c r="I50" s="539">
        <v>-0.1042</v>
      </c>
      <c r="J50" s="211"/>
      <c r="K50" s="178"/>
      <c r="L50" s="126" t="s">
        <v>95</v>
      </c>
      <c r="M50" s="527">
        <v>215692074.27000001</v>
      </c>
      <c r="N50" s="82">
        <f t="shared" ref="N50:N54" si="6">G50/M50</f>
        <v>4.1769996651439781E-2</v>
      </c>
      <c r="O50" s="659" t="s">
        <v>96</v>
      </c>
      <c r="P50" s="662">
        <f>(SUM(G50:G54)/G70)</f>
        <v>7.8399516360475249E-2</v>
      </c>
      <c r="Q50" s="655">
        <v>0.2</v>
      </c>
      <c r="R50" s="655">
        <v>0.15</v>
      </c>
      <c r="S50" s="666" t="s">
        <v>233</v>
      </c>
      <c r="T50" s="514"/>
      <c r="U50" s="67"/>
      <c r="V50" s="66"/>
      <c r="W50" s="67"/>
      <c r="X50" s="67"/>
      <c r="Y50" s="212"/>
    </row>
    <row r="51" spans="1:25" s="1" customFormat="1" ht="19.5" thickBot="1" x14ac:dyDescent="0.3">
      <c r="A51" s="8"/>
      <c r="B51" s="69" t="s">
        <v>113</v>
      </c>
      <c r="C51" s="70" t="s">
        <v>114</v>
      </c>
      <c r="D51" s="87" t="s">
        <v>115</v>
      </c>
      <c r="E51" s="223" t="s">
        <v>39</v>
      </c>
      <c r="F51" s="223" t="s">
        <v>49</v>
      </c>
      <c r="G51" s="529">
        <v>21889646.530000001</v>
      </c>
      <c r="H51" s="73">
        <f t="shared" si="4"/>
        <v>2.8551547642873217E-2</v>
      </c>
      <c r="I51" s="531">
        <v>-0.10340000000000001</v>
      </c>
      <c r="J51" s="211"/>
      <c r="K51" s="433"/>
      <c r="L51" s="126" t="s">
        <v>95</v>
      </c>
      <c r="M51" s="533">
        <v>204206328.05000001</v>
      </c>
      <c r="N51" s="435">
        <f t="shared" si="6"/>
        <v>0.1071937718043699</v>
      </c>
      <c r="O51" s="660"/>
      <c r="P51" s="663"/>
      <c r="Q51" s="665"/>
      <c r="R51" s="665"/>
      <c r="S51" s="667"/>
      <c r="T51" s="514"/>
      <c r="U51" s="67"/>
      <c r="V51" s="66"/>
      <c r="W51" s="67"/>
      <c r="X51" s="67"/>
      <c r="Y51" s="212"/>
    </row>
    <row r="52" spans="1:25" s="1" customFormat="1" ht="15.75" x14ac:dyDescent="0.25">
      <c r="A52" s="8"/>
      <c r="B52" s="55" t="s">
        <v>75</v>
      </c>
      <c r="C52" s="231"/>
      <c r="D52" s="71" t="s">
        <v>103</v>
      </c>
      <c r="E52" s="140" t="s">
        <v>104</v>
      </c>
      <c r="F52" s="432" t="s">
        <v>105</v>
      </c>
      <c r="G52" s="538">
        <v>20105378.440000001</v>
      </c>
      <c r="H52" s="73">
        <f t="shared" si="4"/>
        <v>2.6224254906123238E-2</v>
      </c>
      <c r="I52" s="539">
        <v>-7.8100000000000003E-2</v>
      </c>
      <c r="J52" s="177"/>
      <c r="K52" s="178"/>
      <c r="L52" s="132" t="s">
        <v>95</v>
      </c>
      <c r="M52" s="542">
        <v>598533700.20000005</v>
      </c>
      <c r="N52" s="435">
        <f t="shared" si="6"/>
        <v>3.3591054995369164E-2</v>
      </c>
      <c r="O52" s="660"/>
      <c r="P52" s="663"/>
      <c r="Q52" s="665"/>
      <c r="R52" s="665"/>
      <c r="S52" s="667"/>
      <c r="T52" s="514"/>
      <c r="U52" s="67"/>
      <c r="V52" s="66"/>
      <c r="W52" s="67"/>
      <c r="X52" s="67"/>
      <c r="Y52" s="212"/>
    </row>
    <row r="53" spans="1:25" s="1" customFormat="1" ht="15.75" x14ac:dyDescent="0.25">
      <c r="A53" s="8"/>
      <c r="B53" s="55" t="s">
        <v>75</v>
      </c>
      <c r="C53" s="231"/>
      <c r="D53" s="71" t="s">
        <v>106</v>
      </c>
      <c r="E53" s="140" t="s">
        <v>39</v>
      </c>
      <c r="F53" s="140" t="s">
        <v>49</v>
      </c>
      <c r="G53" s="538">
        <v>2626904.84</v>
      </c>
      <c r="H53" s="550">
        <f t="shared" si="4"/>
        <v>3.4263777895985168E-3</v>
      </c>
      <c r="I53" s="551">
        <v>-8.6199999999999999E-2</v>
      </c>
      <c r="J53" s="234"/>
      <c r="K53" s="235"/>
      <c r="L53" s="236" t="s">
        <v>95</v>
      </c>
      <c r="M53" s="533">
        <v>396266741.01999998</v>
      </c>
      <c r="N53" s="82">
        <f t="shared" si="6"/>
        <v>6.6291327736420283E-3</v>
      </c>
      <c r="O53" s="660"/>
      <c r="P53" s="663"/>
      <c r="Q53" s="665"/>
      <c r="R53" s="665"/>
      <c r="S53" s="667"/>
      <c r="T53" s="514"/>
      <c r="U53" s="67"/>
      <c r="V53" s="66"/>
      <c r="W53" s="67"/>
      <c r="X53" s="67"/>
      <c r="Y53" s="212"/>
    </row>
    <row r="54" spans="1:25" s="1" customFormat="1" ht="16.5" thickBot="1" x14ac:dyDescent="0.3">
      <c r="A54" s="8">
        <v>35</v>
      </c>
      <c r="B54" s="206" t="s">
        <v>50</v>
      </c>
      <c r="C54" s="118"/>
      <c r="D54" s="215" t="s">
        <v>109</v>
      </c>
      <c r="E54" s="120" t="s">
        <v>110</v>
      </c>
      <c r="F54" s="120" t="s">
        <v>111</v>
      </c>
      <c r="G54" s="525">
        <v>6475256.6699999999</v>
      </c>
      <c r="H54" s="73">
        <f t="shared" si="4"/>
        <v>8.4459380858416064E-3</v>
      </c>
      <c r="I54" s="526">
        <v>-0.10580000000000001</v>
      </c>
      <c r="J54" s="130"/>
      <c r="K54" s="232"/>
      <c r="L54" s="126" t="s">
        <v>112</v>
      </c>
      <c r="M54" s="527">
        <v>410294994.58999997</v>
      </c>
      <c r="N54" s="240">
        <f t="shared" si="6"/>
        <v>1.5781953851205524E-2</v>
      </c>
      <c r="O54" s="661"/>
      <c r="P54" s="664"/>
      <c r="Q54" s="656"/>
      <c r="R54" s="656"/>
      <c r="S54" s="668"/>
      <c r="T54" s="515"/>
      <c r="U54" s="67"/>
      <c r="V54" s="66"/>
      <c r="W54" s="67"/>
      <c r="X54" s="67"/>
      <c r="Y54" s="212"/>
    </row>
    <row r="55" spans="1:25" s="1" customFormat="1" ht="16.5" thickBot="1" x14ac:dyDescent="0.3">
      <c r="A55" s="8"/>
      <c r="B55" s="418" t="s">
        <v>200</v>
      </c>
      <c r="C55" s="406"/>
      <c r="D55" s="416"/>
      <c r="E55" s="410"/>
      <c r="F55" s="410"/>
      <c r="G55" s="426"/>
      <c r="H55" s="44"/>
      <c r="I55" s="44"/>
      <c r="J55" s="44"/>
      <c r="K55" s="378"/>
      <c r="L55" s="513"/>
      <c r="M55" s="507"/>
      <c r="N55" s="44"/>
      <c r="O55" s="369" t="s">
        <v>96</v>
      </c>
      <c r="P55" s="362">
        <v>0</v>
      </c>
      <c r="Q55" s="607">
        <v>0.2</v>
      </c>
      <c r="R55" s="604">
        <v>0</v>
      </c>
      <c r="S55" s="603" t="s">
        <v>198</v>
      </c>
      <c r="T55" s="67"/>
      <c r="U55" s="67"/>
      <c r="V55" s="66"/>
      <c r="W55" s="67"/>
      <c r="X55" s="67"/>
      <c r="Y55" s="212"/>
    </row>
    <row r="56" spans="1:25" s="54" customFormat="1" ht="16.5" thickBot="1" x14ac:dyDescent="0.25">
      <c r="A56" s="40"/>
      <c r="B56" s="418" t="s">
        <v>201</v>
      </c>
      <c r="C56" s="403"/>
      <c r="D56" s="404"/>
      <c r="E56" s="404"/>
      <c r="F56" s="404"/>
      <c r="G56" s="43">
        <f>G57+G58</f>
        <v>9064326.9700000007</v>
      </c>
      <c r="H56" s="44">
        <f>G56/$G$70</f>
        <v>1.1822966761014009E-2</v>
      </c>
      <c r="I56" s="244"/>
      <c r="J56" s="45"/>
      <c r="K56" s="45"/>
      <c r="L56" s="45"/>
      <c r="M56" s="148"/>
      <c r="N56" s="149"/>
      <c r="O56" s="190"/>
      <c r="P56" s="191"/>
      <c r="Q56" s="605"/>
      <c r="R56" s="606"/>
      <c r="S56" s="220"/>
      <c r="T56" s="53"/>
      <c r="U56" s="53"/>
      <c r="V56" s="53"/>
      <c r="W56" s="53"/>
      <c r="X56" s="53"/>
      <c r="Y56" s="53"/>
    </row>
    <row r="57" spans="1:25" s="1" customFormat="1" ht="16.5" thickBot="1" x14ac:dyDescent="0.3">
      <c r="A57" s="8">
        <v>39</v>
      </c>
      <c r="B57" s="245" t="s">
        <v>116</v>
      </c>
      <c r="C57" s="92" t="s">
        <v>100</v>
      </c>
      <c r="D57" s="246" t="s">
        <v>117</v>
      </c>
      <c r="E57" s="120" t="s">
        <v>38</v>
      </c>
      <c r="F57" s="120" t="s">
        <v>39</v>
      </c>
      <c r="G57" s="525">
        <v>3497448.47</v>
      </c>
      <c r="H57" s="233">
        <f>G57/$G$70</f>
        <v>4.5618629100676955E-3</v>
      </c>
      <c r="I57" s="557">
        <v>3.39E-2</v>
      </c>
      <c r="J57" s="171"/>
      <c r="K57" s="247"/>
      <c r="L57" s="248" t="s">
        <v>118</v>
      </c>
      <c r="M57" s="558">
        <v>1065111919.7</v>
      </c>
      <c r="N57" s="156">
        <f t="shared" ref="N57" si="7">G57/M57</f>
        <v>3.2836440990962651E-3</v>
      </c>
      <c r="O57" s="669" t="s">
        <v>102</v>
      </c>
      <c r="P57" s="671">
        <f>SUM(G57:G58)/G70</f>
        <v>1.1822966761014009E-2</v>
      </c>
      <c r="Q57" s="673">
        <v>0.1</v>
      </c>
      <c r="R57" s="675">
        <v>0.03</v>
      </c>
      <c r="S57" s="666" t="s">
        <v>204</v>
      </c>
      <c r="T57" s="67"/>
      <c r="U57" s="67"/>
      <c r="V57" s="66"/>
      <c r="W57" s="67"/>
      <c r="X57" s="67"/>
      <c r="Y57" s="97"/>
    </row>
    <row r="58" spans="1:25" s="1" customFormat="1" ht="16.5" thickBot="1" x14ac:dyDescent="0.3">
      <c r="A58" s="8">
        <v>40</v>
      </c>
      <c r="B58" s="192" t="s">
        <v>107</v>
      </c>
      <c r="C58" s="231"/>
      <c r="D58" s="92" t="s">
        <v>119</v>
      </c>
      <c r="E58" s="140" t="s">
        <v>120</v>
      </c>
      <c r="F58" s="140" t="s">
        <v>120</v>
      </c>
      <c r="G58" s="560">
        <v>5566878.5</v>
      </c>
      <c r="H58" s="242">
        <f t="shared" ref="H58:H68" si="8">G58/$G$70</f>
        <v>7.2611038509463122E-3</v>
      </c>
      <c r="I58" s="555">
        <v>4.5199999999999997E-2</v>
      </c>
      <c r="J58" s="161"/>
      <c r="K58" s="204"/>
      <c r="L58" s="126" t="s">
        <v>95</v>
      </c>
      <c r="M58" s="570">
        <v>36173579.079999998</v>
      </c>
      <c r="N58" s="523">
        <f>G58/M58</f>
        <v>0.15389349468816788</v>
      </c>
      <c r="O58" s="670"/>
      <c r="P58" s="672"/>
      <c r="Q58" s="674"/>
      <c r="R58" s="676"/>
      <c r="S58" s="668"/>
      <c r="T58" s="67"/>
      <c r="U58" s="67"/>
      <c r="V58" s="66"/>
      <c r="W58" s="67"/>
      <c r="X58" s="67"/>
      <c r="Y58" s="97"/>
    </row>
    <row r="59" spans="1:25" s="1" customFormat="1" ht="16.5" thickBot="1" x14ac:dyDescent="0.3">
      <c r="A59" s="8"/>
      <c r="B59" s="418" t="s">
        <v>202</v>
      </c>
      <c r="C59" s="403"/>
      <c r="D59" s="404"/>
      <c r="E59" s="404"/>
      <c r="F59" s="404"/>
      <c r="G59" s="43">
        <f>SUM(G60:G63)</f>
        <v>15598434.75</v>
      </c>
      <c r="H59" s="44">
        <f t="shared" si="8"/>
        <v>2.0345666720040644E-2</v>
      </c>
      <c r="I59" s="98"/>
      <c r="J59" s="99"/>
      <c r="K59" s="99"/>
      <c r="L59" s="45"/>
      <c r="M59" s="100"/>
      <c r="N59" s="149"/>
      <c r="O59" s="42"/>
      <c r="P59" s="605"/>
      <c r="Q59" s="50"/>
      <c r="R59" s="151"/>
      <c r="S59" s="52"/>
      <c r="T59" s="67"/>
      <c r="U59" s="67"/>
      <c r="V59" s="66"/>
      <c r="W59" s="67"/>
      <c r="X59" s="67"/>
      <c r="Y59" s="97"/>
    </row>
    <row r="60" spans="1:25" s="1" customFormat="1" ht="16.5" thickBot="1" x14ac:dyDescent="0.3">
      <c r="A60" s="8"/>
      <c r="B60" s="173" t="s">
        <v>247</v>
      </c>
      <c r="C60" s="261"/>
      <c r="D60" s="262" t="s">
        <v>124</v>
      </c>
      <c r="E60" s="107" t="s">
        <v>89</v>
      </c>
      <c r="F60" s="107" t="s">
        <v>89</v>
      </c>
      <c r="G60" s="537">
        <v>14056429.789999999</v>
      </c>
      <c r="H60" s="263">
        <f t="shared" si="8"/>
        <v>1.8334367541652914E-2</v>
      </c>
      <c r="I60" s="536">
        <v>-2.47E-3</v>
      </c>
      <c r="J60" s="264"/>
      <c r="K60" s="265"/>
      <c r="L60" s="261" t="s">
        <v>80</v>
      </c>
      <c r="M60" s="535">
        <v>99446880.590000004</v>
      </c>
      <c r="N60" s="534">
        <f>G60/M60</f>
        <v>0.14134611067341474</v>
      </c>
      <c r="O60" s="659" t="s">
        <v>125</v>
      </c>
      <c r="P60" s="662">
        <f>SUM(G60:G63)/G70</f>
        <v>2.0345666720040644E-2</v>
      </c>
      <c r="Q60" s="708">
        <v>0.05</v>
      </c>
      <c r="R60" s="655">
        <v>0.03</v>
      </c>
      <c r="S60" s="657" t="s">
        <v>205</v>
      </c>
      <c r="T60" s="67"/>
      <c r="U60" s="67"/>
      <c r="V60" s="66"/>
      <c r="W60" s="67"/>
      <c r="X60" s="67"/>
      <c r="Y60" s="97"/>
    </row>
    <row r="61" spans="1:25" s="1" customFormat="1" ht="15.75" x14ac:dyDescent="0.25">
      <c r="A61" s="8"/>
      <c r="B61" s="611" t="s">
        <v>249</v>
      </c>
      <c r="C61" s="261"/>
      <c r="D61" s="262" t="s">
        <v>248</v>
      </c>
      <c r="E61" s="107" t="s">
        <v>89</v>
      </c>
      <c r="F61" s="107" t="s">
        <v>89</v>
      </c>
      <c r="G61" s="537">
        <v>224826.46</v>
      </c>
      <c r="H61" s="263">
        <f t="shared" ref="H61" si="9">G61/$G$70</f>
        <v>2.932502073649761E-4</v>
      </c>
      <c r="I61" s="536">
        <v>-6.3200000000000006E-2</v>
      </c>
      <c r="J61" s="264"/>
      <c r="K61" s="265"/>
      <c r="L61" s="261" t="s">
        <v>80</v>
      </c>
      <c r="M61" s="535">
        <v>8964955.2200000007</v>
      </c>
      <c r="N61" s="156">
        <f>G61/M61</f>
        <v>2.5078369549290394E-2</v>
      </c>
      <c r="O61" s="660"/>
      <c r="P61" s="663"/>
      <c r="Q61" s="709"/>
      <c r="R61" s="665"/>
      <c r="S61" s="677"/>
      <c r="T61" s="67"/>
      <c r="U61" s="67"/>
      <c r="V61" s="66"/>
      <c r="W61" s="67"/>
      <c r="X61" s="67"/>
      <c r="Y61" s="97"/>
    </row>
    <row r="62" spans="1:25" s="1" customFormat="1" ht="15.75" x14ac:dyDescent="0.25">
      <c r="A62" s="8"/>
      <c r="B62" s="266" t="s">
        <v>126</v>
      </c>
      <c r="C62" s="267"/>
      <c r="D62" s="268" t="s">
        <v>127</v>
      </c>
      <c r="E62" s="209" t="s">
        <v>89</v>
      </c>
      <c r="F62" s="209" t="s">
        <v>89</v>
      </c>
      <c r="G62" s="538">
        <v>470328.13</v>
      </c>
      <c r="H62" s="82">
        <f t="shared" si="8"/>
        <v>6.13467923891527E-4</v>
      </c>
      <c r="I62" s="530">
        <v>-1.1999999999999999E-3</v>
      </c>
      <c r="J62" s="269"/>
      <c r="K62" s="270"/>
      <c r="L62" s="271" t="s">
        <v>80</v>
      </c>
      <c r="M62" s="547">
        <v>213614026.62</v>
      </c>
      <c r="N62" s="128">
        <f>G62/M62</f>
        <v>2.2017661360631113E-3</v>
      </c>
      <c r="O62" s="660"/>
      <c r="P62" s="663"/>
      <c r="Q62" s="709"/>
      <c r="R62" s="665"/>
      <c r="S62" s="677"/>
      <c r="T62" s="67"/>
      <c r="U62" s="67"/>
      <c r="V62" s="66"/>
      <c r="W62" s="67"/>
      <c r="X62" s="67"/>
      <c r="Y62" s="97"/>
    </row>
    <row r="63" spans="1:25" s="1" customFormat="1" ht="16.5" thickBot="1" x14ac:dyDescent="0.3">
      <c r="A63" s="8"/>
      <c r="B63" s="272" t="s">
        <v>128</v>
      </c>
      <c r="C63" s="261"/>
      <c r="D63" s="273" t="s">
        <v>129</v>
      </c>
      <c r="E63" s="181" t="s">
        <v>89</v>
      </c>
      <c r="F63" s="181" t="s">
        <v>89</v>
      </c>
      <c r="G63" s="560">
        <v>846850.37</v>
      </c>
      <c r="H63" s="95">
        <f t="shared" si="8"/>
        <v>1.1045810471312261E-3</v>
      </c>
      <c r="I63" s="561">
        <v>-6.1000000000000004E-3</v>
      </c>
      <c r="J63" s="274"/>
      <c r="K63" s="275"/>
      <c r="L63" s="276" t="s">
        <v>80</v>
      </c>
      <c r="M63" s="547">
        <v>214521557.38</v>
      </c>
      <c r="N63" s="199">
        <f>G63/M63</f>
        <v>3.9476236343926174E-3</v>
      </c>
      <c r="O63" s="661"/>
      <c r="P63" s="664"/>
      <c r="Q63" s="710"/>
      <c r="R63" s="656"/>
      <c r="S63" s="658"/>
      <c r="T63" s="67"/>
      <c r="U63" s="67"/>
      <c r="V63" s="66"/>
      <c r="W63" s="67"/>
      <c r="X63" s="67"/>
      <c r="Y63" s="97"/>
    </row>
    <row r="64" spans="1:25" s="54" customFormat="1" ht="16.5" thickBot="1" x14ac:dyDescent="0.25">
      <c r="A64" s="40"/>
      <c r="B64" s="418" t="s">
        <v>203</v>
      </c>
      <c r="C64" s="403"/>
      <c r="D64" s="404"/>
      <c r="E64" s="404"/>
      <c r="F64" s="404"/>
      <c r="G64" s="43">
        <f>SUM(G65:G66)</f>
        <v>13752313.84</v>
      </c>
      <c r="H64" s="44">
        <f t="shared" si="8"/>
        <v>1.7937696858849401E-2</v>
      </c>
      <c r="I64" s="98"/>
      <c r="J64" s="99"/>
      <c r="K64" s="45"/>
      <c r="L64" s="45"/>
      <c r="M64" s="148"/>
      <c r="N64" s="149"/>
      <c r="O64" s="42"/>
      <c r="P64" s="605"/>
      <c r="Q64" s="253"/>
      <c r="R64" s="254"/>
      <c r="S64" s="255"/>
      <c r="T64" s="53"/>
      <c r="U64" s="53"/>
      <c r="V64" s="53"/>
      <c r="W64" s="53"/>
      <c r="X64" s="53"/>
      <c r="Y64" s="53"/>
    </row>
    <row r="65" spans="1:25" s="54" customFormat="1" ht="16.5" customHeight="1" x14ac:dyDescent="0.25">
      <c r="A65" s="256">
        <v>41</v>
      </c>
      <c r="B65" s="104" t="s">
        <v>164</v>
      </c>
      <c r="C65" s="105"/>
      <c r="D65" s="153" t="s">
        <v>165</v>
      </c>
      <c r="E65" s="108" t="s">
        <v>89</v>
      </c>
      <c r="F65" s="108" t="s">
        <v>89</v>
      </c>
      <c r="G65" s="537">
        <v>4850000</v>
      </c>
      <c r="H65" s="258">
        <f t="shared" si="8"/>
        <v>6.3260503488785707E-3</v>
      </c>
      <c r="I65" s="564">
        <v>-8.1600000000000006E-2</v>
      </c>
      <c r="J65" s="259"/>
      <c r="K65" s="113"/>
      <c r="L65" s="114" t="s">
        <v>71</v>
      </c>
      <c r="M65" s="155">
        <v>234883607.43000001</v>
      </c>
      <c r="N65" s="156">
        <f t="shared" ref="N65" si="10">G65/M65</f>
        <v>2.0648524829240782E-2</v>
      </c>
      <c r="O65" s="698" t="s">
        <v>207</v>
      </c>
      <c r="P65" s="662">
        <f>SUM(G65:G66)/G70</f>
        <v>1.7937696858849401E-2</v>
      </c>
      <c r="Q65" s="655">
        <v>0.05</v>
      </c>
      <c r="R65" s="655">
        <v>0.03</v>
      </c>
      <c r="S65" s="657" t="s">
        <v>206</v>
      </c>
      <c r="T65" s="53"/>
      <c r="U65" s="53"/>
      <c r="V65" s="53"/>
      <c r="W65" s="53"/>
      <c r="X65" s="53"/>
      <c r="Y65" s="53"/>
    </row>
    <row r="66" spans="1:25" s="1" customFormat="1" ht="16.5" thickBot="1" x14ac:dyDescent="0.3">
      <c r="A66" s="8">
        <v>42</v>
      </c>
      <c r="B66" s="192" t="s">
        <v>121</v>
      </c>
      <c r="C66" s="118"/>
      <c r="D66" s="92" t="s">
        <v>122</v>
      </c>
      <c r="E66" s="193" t="s">
        <v>89</v>
      </c>
      <c r="F66" s="193" t="s">
        <v>89</v>
      </c>
      <c r="G66" s="560">
        <v>8902313.8399999999</v>
      </c>
      <c r="H66" s="260">
        <f t="shared" si="8"/>
        <v>1.1611646509970831E-2</v>
      </c>
      <c r="I66" s="561">
        <v>-4.7399999999999998E-2</v>
      </c>
      <c r="J66" s="161"/>
      <c r="K66" s="243"/>
      <c r="L66" s="184" t="s">
        <v>71</v>
      </c>
      <c r="M66" s="198">
        <v>139522726.03999999</v>
      </c>
      <c r="N66" s="524">
        <f>G66/M66</f>
        <v>6.3805475227367486E-2</v>
      </c>
      <c r="O66" s="700"/>
      <c r="P66" s="664"/>
      <c r="Q66" s="656"/>
      <c r="R66" s="656"/>
      <c r="S66" s="658"/>
      <c r="T66" s="67"/>
      <c r="U66" s="67"/>
      <c r="V66" s="66"/>
      <c r="W66" s="67"/>
      <c r="X66" s="66"/>
      <c r="Y66" s="68"/>
    </row>
    <row r="67" spans="1:25" s="1" customFormat="1" ht="12" customHeight="1" thickBot="1" x14ac:dyDescent="0.3">
      <c r="A67" s="217"/>
      <c r="B67" s="218" t="s">
        <v>130</v>
      </c>
      <c r="C67" s="41"/>
      <c r="D67" s="42"/>
      <c r="E67" s="277"/>
      <c r="F67" s="277"/>
      <c r="G67" s="278">
        <f>SUM(G68:G69)</f>
        <v>5048.28</v>
      </c>
      <c r="H67" s="279">
        <f t="shared" si="8"/>
        <v>6.5846749392240636E-6</v>
      </c>
      <c r="I67" s="280"/>
      <c r="J67" s="281"/>
      <c r="K67" s="281"/>
      <c r="L67" s="281"/>
      <c r="M67" s="282"/>
      <c r="N67" s="149"/>
      <c r="O67" s="283"/>
      <c r="P67" s="284">
        <f>SUM((G44+G47+G49+G56+G64)/G70)*100</f>
        <v>18.361523645375303</v>
      </c>
      <c r="Q67" s="285"/>
      <c r="R67" s="286">
        <f>SUM(P44+P67+P68+P69)/100</f>
        <v>0.97964781445176941</v>
      </c>
      <c r="S67" s="52"/>
      <c r="T67" s="261"/>
      <c r="U67" s="261"/>
      <c r="V67" s="261"/>
      <c r="W67" s="261"/>
      <c r="X67" s="261"/>
    </row>
    <row r="68" spans="1:25" s="1" customFormat="1" ht="15.75" x14ac:dyDescent="0.25">
      <c r="A68" s="217">
        <v>46</v>
      </c>
      <c r="B68" s="287" t="s">
        <v>131</v>
      </c>
      <c r="C68" s="288"/>
      <c r="D68" s="289"/>
      <c r="E68" s="290"/>
      <c r="F68" s="291"/>
      <c r="G68" s="292">
        <v>3744.12</v>
      </c>
      <c r="H68" s="233">
        <f t="shared" si="8"/>
        <v>4.8836065221120073E-6</v>
      </c>
      <c r="I68" s="165">
        <v>0</v>
      </c>
      <c r="J68" s="293"/>
      <c r="K68" s="294"/>
      <c r="L68" s="295"/>
      <c r="M68" s="296"/>
      <c r="N68" s="297"/>
      <c r="O68" s="704" t="s">
        <v>132</v>
      </c>
      <c r="P68" s="706">
        <f>(G68+G69)/G70</f>
        <v>6.5846749392240636E-6</v>
      </c>
      <c r="Q68" s="298"/>
      <c r="R68" s="299"/>
      <c r="S68" s="291"/>
      <c r="T68" s="261"/>
      <c r="U68" s="261"/>
      <c r="V68" s="261"/>
      <c r="W68" s="261"/>
      <c r="X68" s="261"/>
    </row>
    <row r="69" spans="1:25" s="261" customFormat="1" ht="15.75" x14ac:dyDescent="0.25">
      <c r="A69" s="8">
        <v>47</v>
      </c>
      <c r="B69" s="300" t="s">
        <v>133</v>
      </c>
      <c r="C69" s="301"/>
      <c r="D69" s="302"/>
      <c r="E69" s="303"/>
      <c r="F69" s="301"/>
      <c r="G69" s="59">
        <v>1304.1600000000001</v>
      </c>
      <c r="H69" s="304">
        <v>9.5999999999999992E-3</v>
      </c>
      <c r="I69" s="74">
        <v>0</v>
      </c>
      <c r="J69" s="305"/>
      <c r="K69" s="306"/>
      <c r="L69" s="307"/>
      <c r="M69" s="308"/>
      <c r="N69" s="309"/>
      <c r="O69" s="705"/>
      <c r="P69" s="707"/>
      <c r="Q69" s="310"/>
      <c r="R69" s="311"/>
      <c r="S69" s="303"/>
      <c r="T69" s="312"/>
      <c r="V69" s="313"/>
      <c r="Y69" s="1"/>
    </row>
    <row r="70" spans="1:25" s="261" customFormat="1" ht="16.5" thickBot="1" x14ac:dyDescent="0.3">
      <c r="A70" s="8"/>
      <c r="B70" s="314" t="s">
        <v>134</v>
      </c>
      <c r="C70" s="315"/>
      <c r="D70" s="316"/>
      <c r="E70" s="317"/>
      <c r="F70" s="317"/>
      <c r="G70" s="318">
        <f>G4+G11+G21+G27+G38+G44+G47+G49+G56+G59+G64+G67</f>
        <v>766671103.22000003</v>
      </c>
      <c r="H70" s="319">
        <f>G70/$G$70</f>
        <v>1</v>
      </c>
      <c r="I70" s="320"/>
      <c r="J70" s="321"/>
      <c r="K70" s="322"/>
      <c r="L70" s="323"/>
      <c r="M70" s="324"/>
      <c r="N70" s="325"/>
      <c r="O70" s="326"/>
      <c r="P70" s="327" t="e">
        <f>P5+P12+P19+P20+P26+#REF!+P34+P35+P36+P37+P39+P42+P43+P45+P48+P50+P55+P57+P60+P65+P68</f>
        <v>#REF!</v>
      </c>
      <c r="Q70" s="328"/>
      <c r="R70" s="329"/>
      <c r="S70" s="330"/>
      <c r="T70" s="312"/>
      <c r="V70" s="313"/>
      <c r="Y70" s="1"/>
    </row>
    <row r="71" spans="1:25" s="261" customFormat="1" x14ac:dyDescent="0.25">
      <c r="A71" s="1"/>
      <c r="B71" s="331" t="s">
        <v>250</v>
      </c>
      <c r="C71" s="331"/>
      <c r="D71" s="332"/>
      <c r="E71" s="332">
        <v>9.1999999999999998E-3</v>
      </c>
      <c r="F71" s="332"/>
      <c r="G71" s="331" t="s">
        <v>135</v>
      </c>
      <c r="H71" s="333">
        <v>-0.1087</v>
      </c>
      <c r="I71" s="334"/>
      <c r="J71" s="331" t="s">
        <v>136</v>
      </c>
      <c r="K71" s="333">
        <v>-5.2699999999999997E-2</v>
      </c>
      <c r="L71" s="334"/>
      <c r="M71" s="335" t="s">
        <v>137</v>
      </c>
      <c r="N71" s="333">
        <v>-1.8533000000000001E-2</v>
      </c>
      <c r="O71" s="1"/>
      <c r="P71" s="333" t="s">
        <v>138</v>
      </c>
      <c r="Q71" s="1"/>
      <c r="R71" s="333"/>
      <c r="S71" s="336">
        <v>2.4400000000000002E-2</v>
      </c>
      <c r="Y71" s="1"/>
    </row>
    <row r="72" spans="1:25" s="261" customFormat="1" x14ac:dyDescent="0.25">
      <c r="A72" s="1"/>
      <c r="B72" s="331" t="s">
        <v>139</v>
      </c>
      <c r="C72" s="337"/>
      <c r="D72" s="331"/>
      <c r="E72" s="615">
        <v>-2.7099999999999999E-2</v>
      </c>
      <c r="F72" s="333"/>
      <c r="G72" s="331" t="s">
        <v>140</v>
      </c>
      <c r="H72" s="333">
        <v>-0.1091</v>
      </c>
      <c r="I72" s="331"/>
      <c r="J72" s="331" t="s">
        <v>141</v>
      </c>
      <c r="K72" s="333">
        <v>-3.1569E-2</v>
      </c>
      <c r="L72" s="333"/>
      <c r="M72" s="335" t="s">
        <v>142</v>
      </c>
      <c r="N72" s="333">
        <v>1.9810000000000001E-3</v>
      </c>
      <c r="O72" s="1"/>
      <c r="P72" s="339" t="s">
        <v>143</v>
      </c>
      <c r="Q72" s="1"/>
      <c r="R72" s="1"/>
      <c r="S72" s="336">
        <v>3.56E-2</v>
      </c>
      <c r="Y72" s="1"/>
    </row>
    <row r="73" spans="1:25" s="261" customFormat="1" x14ac:dyDescent="0.25">
      <c r="A73" s="1"/>
      <c r="B73" s="331" t="s">
        <v>144</v>
      </c>
      <c r="C73" s="1"/>
      <c r="D73" s="333"/>
      <c r="E73" s="333">
        <v>4.3E-3</v>
      </c>
      <c r="F73" s="333"/>
      <c r="G73" s="331" t="s">
        <v>145</v>
      </c>
      <c r="H73" s="333">
        <v>-0.10879999999999999</v>
      </c>
      <c r="I73" s="331"/>
      <c r="J73" s="331" t="s">
        <v>146</v>
      </c>
      <c r="K73" s="333">
        <v>-1.4263E-2</v>
      </c>
      <c r="L73" s="333"/>
      <c r="M73" s="335" t="s">
        <v>147</v>
      </c>
      <c r="N73" s="333">
        <v>-2.623E-2</v>
      </c>
      <c r="O73" s="333"/>
      <c r="P73" s="339" t="s">
        <v>148</v>
      </c>
      <c r="Q73" s="1"/>
      <c r="R73" s="1"/>
      <c r="S73" s="336">
        <v>0.12859999999999999</v>
      </c>
      <c r="T73" s="340"/>
      <c r="Y73" s="1"/>
    </row>
    <row r="74" spans="1:25" s="261" customFormat="1" x14ac:dyDescent="0.25">
      <c r="A74" s="1"/>
      <c r="B74" s="331" t="s">
        <v>118</v>
      </c>
      <c r="C74" s="333"/>
      <c r="D74" s="333"/>
      <c r="E74" s="341">
        <v>5.1999999999999998E-3</v>
      </c>
      <c r="F74" s="341"/>
      <c r="G74" s="331" t="s">
        <v>149</v>
      </c>
      <c r="H74" s="333">
        <v>-0.11310000000000001</v>
      </c>
      <c r="I74" s="331"/>
      <c r="J74" s="331" t="s">
        <v>150</v>
      </c>
      <c r="K74" s="333">
        <v>-1.5573E-2</v>
      </c>
      <c r="L74" s="333"/>
      <c r="M74" s="335" t="s">
        <v>151</v>
      </c>
      <c r="N74" s="333">
        <v>-4.6569999999999997E-3</v>
      </c>
      <c r="O74" s="333"/>
      <c r="P74" s="339" t="s">
        <v>152</v>
      </c>
      <c r="Q74" s="1"/>
      <c r="R74" s="1"/>
      <c r="S74" s="336">
        <v>7.8299999999999995E-2</v>
      </c>
      <c r="Y74" s="1"/>
    </row>
    <row r="75" spans="1:25" s="261" customFormat="1" x14ac:dyDescent="0.25">
      <c r="A75" s="1"/>
      <c r="B75" s="331" t="s">
        <v>80</v>
      </c>
      <c r="C75" s="1"/>
      <c r="D75" s="333"/>
      <c r="E75" s="341">
        <v>4.0000000000000001E-3</v>
      </c>
      <c r="F75" s="341"/>
      <c r="G75" s="331" t="s">
        <v>112</v>
      </c>
      <c r="H75" s="333">
        <v>-0.1053</v>
      </c>
      <c r="I75" s="1"/>
      <c r="J75" s="331" t="s">
        <v>153</v>
      </c>
      <c r="K75" s="333">
        <v>-4.6530000000000002E-2</v>
      </c>
      <c r="L75" s="1"/>
      <c r="M75" s="335" t="s">
        <v>154</v>
      </c>
      <c r="N75" s="333">
        <v>5.0229999999999997E-3</v>
      </c>
      <c r="O75" s="333"/>
      <c r="P75" s="339"/>
      <c r="Q75" s="1"/>
      <c r="R75" s="1"/>
      <c r="S75" s="342">
        <f>'[1]FFPREV Maio 2018'!$G$50</f>
        <v>252557926.67000005</v>
      </c>
      <c r="T75" s="343"/>
      <c r="Y75" s="1"/>
    </row>
    <row r="76" spans="1:25" s="261" customFormat="1" x14ac:dyDescent="0.25">
      <c r="A76" s="1"/>
      <c r="B76" s="1"/>
      <c r="C76" s="1"/>
      <c r="D76" s="1"/>
      <c r="E76" s="1"/>
      <c r="F76" s="1"/>
      <c r="G76" s="331"/>
      <c r="H76" s="333" t="s">
        <v>155</v>
      </c>
      <c r="I76" s="1"/>
      <c r="J76" s="331"/>
      <c r="K76" s="333"/>
      <c r="L76" s="1"/>
      <c r="M76" s="335"/>
      <c r="N76" s="344"/>
      <c r="O76" s="333"/>
      <c r="P76" s="1"/>
      <c r="Q76" s="1"/>
      <c r="R76" s="1"/>
      <c r="S76" s="345">
        <f>G70</f>
        <v>766671103.22000003</v>
      </c>
      <c r="Y76" s="1"/>
    </row>
    <row r="77" spans="1:25" s="1" customFormat="1" x14ac:dyDescent="0.25">
      <c r="D77" t="s">
        <v>156</v>
      </c>
      <c r="G77" s="346">
        <f>S77</f>
        <v>1019229029.8900001</v>
      </c>
      <c r="H77" s="333"/>
      <c r="J77" s="331"/>
      <c r="K77" s="333"/>
      <c r="M77" s="347"/>
      <c r="N77" s="344"/>
      <c r="O77" s="333"/>
      <c r="S77" s="348">
        <f>S75+S76</f>
        <v>1019229029.8900001</v>
      </c>
      <c r="T77" s="261"/>
      <c r="U77" s="261"/>
      <c r="V77" s="261"/>
      <c r="W77" s="261"/>
      <c r="X77" s="261"/>
    </row>
    <row r="78" spans="1:25" s="7" customFormat="1" x14ac:dyDescent="0.25">
      <c r="A78"/>
      <c r="B78"/>
      <c r="C78"/>
      <c r="D78"/>
      <c r="E78"/>
      <c r="F78"/>
      <c r="G78" s="598"/>
      <c r="H78" s="333"/>
      <c r="I78" s="1"/>
      <c r="J78" s="331"/>
      <c r="K78" s="333"/>
      <c r="L78" s="1"/>
      <c r="M78" s="347"/>
      <c r="N78" s="353"/>
      <c r="O78"/>
      <c r="P78"/>
      <c r="Q78"/>
      <c r="R78"/>
      <c r="S78" s="348"/>
      <c r="Y78"/>
    </row>
    <row r="79" spans="1:25" s="7" customFormat="1" x14ac:dyDescent="0.25">
      <c r="A79"/>
      <c r="B79" s="331"/>
      <c r="C79" s="331"/>
      <c r="D79" s="331"/>
      <c r="E79" s="332"/>
      <c r="F79" s="332"/>
      <c r="G79" s="599"/>
      <c r="H79" s="344"/>
      <c r="I79" s="1"/>
      <c r="J79" s="1"/>
      <c r="K79" s="1"/>
      <c r="L79" s="1"/>
      <c r="M79" s="347"/>
      <c r="N79" s="353"/>
      <c r="O79"/>
      <c r="P79"/>
      <c r="Q79"/>
      <c r="R79"/>
      <c r="S79"/>
      <c r="Y79"/>
    </row>
    <row r="80" spans="1:25" s="7" customFormat="1" x14ac:dyDescent="0.25">
      <c r="A80"/>
      <c r="B80" s="331"/>
      <c r="C80" s="331"/>
      <c r="D80" s="331"/>
      <c r="E80" s="333"/>
      <c r="F80" s="333"/>
      <c r="G80" s="354"/>
      <c r="H80" s="344"/>
      <c r="I80" s="1"/>
      <c r="J80" s="1"/>
      <c r="K80" s="1"/>
      <c r="L80" s="1"/>
      <c r="M80" s="347"/>
      <c r="N80" s="353"/>
      <c r="O80"/>
      <c r="P80"/>
      <c r="Q80"/>
      <c r="R80"/>
      <c r="S80"/>
      <c r="Y80"/>
    </row>
    <row r="81" spans="1:25" s="7" customFormat="1" x14ac:dyDescent="0.25">
      <c r="A81"/>
      <c r="B81" s="331"/>
      <c r="C81" s="1"/>
      <c r="D81" s="333"/>
      <c r="E81" s="333"/>
      <c r="F81" s="333"/>
      <c r="G81" s="349"/>
      <c r="H81" s="344"/>
      <c r="I81" s="1"/>
      <c r="J81" s="1"/>
      <c r="K81" s="1"/>
      <c r="L81" s="1"/>
      <c r="M81" s="347"/>
      <c r="N81" s="353"/>
      <c r="O81"/>
      <c r="P81"/>
      <c r="Q81"/>
      <c r="R81"/>
      <c r="S81"/>
      <c r="Y81"/>
    </row>
    <row r="82" spans="1:25" s="7" customFormat="1" x14ac:dyDescent="0.25">
      <c r="A82"/>
      <c r="B82" s="331"/>
      <c r="C82" s="333"/>
      <c r="D82" s="333"/>
      <c r="E82" s="339"/>
      <c r="F82" s="339"/>
      <c r="G82" s="349"/>
      <c r="H82" s="344"/>
      <c r="I82" s="1"/>
      <c r="J82" s="1"/>
      <c r="K82" s="1"/>
      <c r="L82" s="1"/>
      <c r="M82" s="347" t="s">
        <v>157</v>
      </c>
      <c r="N82" s="353"/>
      <c r="O82"/>
      <c r="P82"/>
      <c r="Q82"/>
      <c r="R82"/>
      <c r="S82"/>
      <c r="Y82"/>
    </row>
    <row r="83" spans="1:25" s="7" customFormat="1" x14ac:dyDescent="0.25">
      <c r="A83"/>
      <c r="B83" s="331" t="s">
        <v>60</v>
      </c>
      <c r="C83" s="1"/>
      <c r="D83" s="333" t="s">
        <v>158</v>
      </c>
      <c r="E83" s="616">
        <v>-2.0299999999999999E-2</v>
      </c>
      <c r="F83" s="1"/>
      <c r="G83" s="349">
        <f>G4+G11+G19+G20+G21+G26+G27+G34+G35+G36+G37+G38+G42+G43</f>
        <v>610295124.28999996</v>
      </c>
      <c r="H83" s="344">
        <f>G83/G86</f>
        <v>0.79603251215126714</v>
      </c>
      <c r="I83" s="1"/>
      <c r="J83" s="1" t="s">
        <v>60</v>
      </c>
      <c r="K83" s="1"/>
      <c r="L83" s="1"/>
      <c r="M83" s="586">
        <f>'[3]Consolidado fevereiro 2018'!$G$112</f>
        <v>838658112.35000002</v>
      </c>
      <c r="N83" s="353">
        <f>M83/M86</f>
        <v>0.81890513514275298</v>
      </c>
      <c r="O83"/>
      <c r="P83"/>
      <c r="Q83"/>
      <c r="R83"/>
      <c r="S83"/>
      <c r="Y83"/>
    </row>
    <row r="84" spans="1:25" s="7" customFormat="1" x14ac:dyDescent="0.25">
      <c r="A84"/>
      <c r="B84" t="s">
        <v>96</v>
      </c>
      <c r="C84"/>
      <c r="D84" s="333" t="s">
        <v>158</v>
      </c>
      <c r="E84" s="616">
        <v>-5.28E-2</v>
      </c>
      <c r="F84"/>
      <c r="G84" s="349">
        <f>G44+G47+G49+G55+G56+G59+G64</f>
        <v>156370930.65000001</v>
      </c>
      <c r="H84" s="344">
        <f>G84/G86</f>
        <v>0.2039609031737937</v>
      </c>
      <c r="I84" s="1"/>
      <c r="J84" s="1" t="s">
        <v>96</v>
      </c>
      <c r="K84" s="1"/>
      <c r="L84" s="1"/>
      <c r="M84" s="586">
        <f>'[3]Consolidado fevereiro 2018'!$G$105</f>
        <v>184803995.55999997</v>
      </c>
      <c r="N84" s="353">
        <f>M84/M86</f>
        <v>0.18045129323905537</v>
      </c>
      <c r="O84"/>
      <c r="P84"/>
      <c r="Q84"/>
      <c r="R84"/>
      <c r="S84"/>
      <c r="Y84"/>
    </row>
    <row r="85" spans="1:25" s="7" customFormat="1" x14ac:dyDescent="0.25">
      <c r="A85"/>
      <c r="B85" t="s">
        <v>159</v>
      </c>
      <c r="C85"/>
      <c r="D85"/>
      <c r="E85" s="617"/>
      <c r="F85"/>
      <c r="G85" s="349">
        <f>G67</f>
        <v>5048.28</v>
      </c>
      <c r="H85" s="344">
        <f>G85/G86</f>
        <v>6.5846749392240653E-6</v>
      </c>
      <c r="I85" s="1"/>
      <c r="J85" s="1" t="s">
        <v>160</v>
      </c>
      <c r="K85" s="1"/>
      <c r="L85" s="1"/>
      <c r="M85" s="586">
        <f>'[3]Consolidado fevereiro 2018'!$M$106</f>
        <v>659095.34000000008</v>
      </c>
      <c r="N85" s="353">
        <f>M85/M86</f>
        <v>6.4357161819166746E-4</v>
      </c>
      <c r="O85"/>
      <c r="P85"/>
      <c r="Q85"/>
      <c r="R85"/>
      <c r="S85"/>
      <c r="Y85"/>
    </row>
    <row r="86" spans="1:25" s="7" customFormat="1" x14ac:dyDescent="0.25">
      <c r="A86"/>
      <c r="B86"/>
      <c r="C86"/>
      <c r="D86"/>
      <c r="E86" s="616">
        <v>-2.7099999999999999E-2</v>
      </c>
      <c r="F86"/>
      <c r="G86" s="349">
        <f>G83+G84+G85</f>
        <v>766671103.21999991</v>
      </c>
      <c r="H86" s="344">
        <f>SUM(H83:H85)</f>
        <v>1</v>
      </c>
      <c r="I86" s="1"/>
      <c r="J86" s="261" t="s">
        <v>161</v>
      </c>
      <c r="K86" s="261"/>
      <c r="L86" s="261"/>
      <c r="M86" s="586">
        <f>M83+M84+M85</f>
        <v>1024121203.25</v>
      </c>
      <c r="N86" s="353">
        <f>N83+N84+N85</f>
        <v>1</v>
      </c>
      <c r="O86"/>
      <c r="P86"/>
      <c r="Q86"/>
      <c r="R86"/>
      <c r="S86"/>
      <c r="Y86"/>
    </row>
    <row r="87" spans="1:25" s="7" customFormat="1" x14ac:dyDescent="0.25">
      <c r="A87"/>
      <c r="B87"/>
      <c r="C87"/>
      <c r="D87"/>
      <c r="E87" s="358"/>
      <c r="F87"/>
      <c r="G87" s="1"/>
      <c r="H87" s="344"/>
      <c r="I87" s="1"/>
      <c r="J87" s="1"/>
      <c r="K87" s="1"/>
      <c r="L87" s="1"/>
      <c r="M87" s="347"/>
      <c r="N87" s="353"/>
      <c r="O87"/>
      <c r="P87"/>
      <c r="Q87"/>
      <c r="R87"/>
      <c r="S87"/>
      <c r="Y87"/>
    </row>
    <row r="88" spans="1:25" s="7" customFormat="1" x14ac:dyDescent="0.25">
      <c r="A88"/>
      <c r="B88"/>
      <c r="C88"/>
      <c r="D88"/>
      <c r="E88"/>
      <c r="F88"/>
      <c r="G88" s="1"/>
      <c r="H88" s="344"/>
      <c r="I88" s="1"/>
      <c r="J88" s="1"/>
      <c r="K88" s="1"/>
      <c r="L88" s="1"/>
      <c r="M88" s="347"/>
      <c r="N88" s="353"/>
      <c r="O88"/>
      <c r="P88"/>
      <c r="Q88"/>
      <c r="R88"/>
      <c r="S88"/>
      <c r="Y88"/>
    </row>
    <row r="89" spans="1:25" s="7" customFormat="1" x14ac:dyDescent="0.25">
      <c r="A89"/>
      <c r="B89"/>
      <c r="C89"/>
      <c r="D89"/>
      <c r="E89"/>
      <c r="F89"/>
      <c r="G89" s="1"/>
      <c r="H89" s="344"/>
      <c r="I89" s="1"/>
      <c r="J89" s="1"/>
      <c r="K89" s="1"/>
      <c r="L89" s="1"/>
      <c r="M89" s="347"/>
      <c r="N89" s="353"/>
      <c r="O89"/>
      <c r="P89"/>
      <c r="Q89"/>
      <c r="R89"/>
      <c r="S89"/>
      <c r="Y89"/>
    </row>
  </sheetData>
  <mergeCells count="53">
    <mergeCell ref="S5:S10"/>
    <mergeCell ref="P3:R3"/>
    <mergeCell ref="O5:O10"/>
    <mergeCell ref="P5:P10"/>
    <mergeCell ref="Q5:Q10"/>
    <mergeCell ref="R5:R10"/>
    <mergeCell ref="O22:O25"/>
    <mergeCell ref="P22:P25"/>
    <mergeCell ref="Q22:Q25"/>
    <mergeCell ref="R22:R25"/>
    <mergeCell ref="S22:S25"/>
    <mergeCell ref="O12:O18"/>
    <mergeCell ref="P12:P18"/>
    <mergeCell ref="Q12:Q18"/>
    <mergeCell ref="R12:R18"/>
    <mergeCell ref="S12:S18"/>
    <mergeCell ref="O39:O41"/>
    <mergeCell ref="P39:P41"/>
    <mergeCell ref="Q39:Q41"/>
    <mergeCell ref="R39:R41"/>
    <mergeCell ref="S39:S41"/>
    <mergeCell ref="O28:O33"/>
    <mergeCell ref="P28:P33"/>
    <mergeCell ref="Q28:Q33"/>
    <mergeCell ref="R28:R33"/>
    <mergeCell ref="S28:S33"/>
    <mergeCell ref="S60:S63"/>
    <mergeCell ref="O45:O46"/>
    <mergeCell ref="P45:P46"/>
    <mergeCell ref="Q45:Q46"/>
    <mergeCell ref="R45:R46"/>
    <mergeCell ref="S45:S46"/>
    <mergeCell ref="O50:O54"/>
    <mergeCell ref="P50:P54"/>
    <mergeCell ref="Q50:Q54"/>
    <mergeCell ref="R50:R54"/>
    <mergeCell ref="S50:S54"/>
    <mergeCell ref="R65:R66"/>
    <mergeCell ref="S65:S66"/>
    <mergeCell ref="O68:O69"/>
    <mergeCell ref="P68:P69"/>
    <mergeCell ref="O57:O58"/>
    <mergeCell ref="P57:P58"/>
    <mergeCell ref="Q57:Q58"/>
    <mergeCell ref="O65:O66"/>
    <mergeCell ref="P65:P66"/>
    <mergeCell ref="Q65:Q66"/>
    <mergeCell ref="R57:R58"/>
    <mergeCell ref="S57:S58"/>
    <mergeCell ref="O60:O63"/>
    <mergeCell ref="P60:P63"/>
    <mergeCell ref="Q60:Q63"/>
    <mergeCell ref="R60:R63"/>
  </mergeCells>
  <printOptions horizontalCentered="1"/>
  <pageMargins left="0" right="0" top="0" bottom="0" header="0.19685039370078741" footer="0.39370078740157483"/>
  <pageSetup paperSize="9" scale="4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topLeftCell="A76" zoomScaleNormal="100" zoomScaleSheetLayoutView="86" workbookViewId="0">
      <selection activeCell="M95" sqref="M95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3.42578125" style="1" bestFit="1" customWidth="1"/>
    <col min="8" max="8" width="11.5703125" style="344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4" style="347" bestFit="1" customWidth="1"/>
    <col min="14" max="14" width="8.140625" style="353" bestFit="1" customWidth="1"/>
    <col min="15" max="15" width="13.5703125" customWidth="1"/>
    <col min="16" max="16" width="6.85546875" customWidth="1"/>
    <col min="17" max="17" width="5.5703125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251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685" t="s">
        <v>18</v>
      </c>
      <c r="Q3" s="686"/>
      <c r="R3" s="687"/>
      <c r="S3" s="38" t="s">
        <v>19</v>
      </c>
      <c r="T3" s="39"/>
      <c r="U3" s="39"/>
      <c r="V3" s="39"/>
      <c r="W3" s="39"/>
      <c r="X3" s="39"/>
      <c r="Y3" s="39"/>
    </row>
    <row r="4" spans="1:25" s="54" customFormat="1" ht="12" customHeight="1" thickBot="1" x14ac:dyDescent="0.25">
      <c r="A4" s="40"/>
      <c r="B4" s="402" t="s">
        <v>166</v>
      </c>
      <c r="C4" s="403"/>
      <c r="D4" s="404"/>
      <c r="E4" s="404"/>
      <c r="F4" s="404"/>
      <c r="G4" s="43">
        <f>SUM(G5:G10)</f>
        <v>118386905.84</v>
      </c>
      <c r="H4" s="44">
        <f t="shared" ref="H4:H18" si="0">G4/$G$71</f>
        <v>0.15449305596591628</v>
      </c>
      <c r="I4" s="45"/>
      <c r="J4" s="45"/>
      <c r="K4" s="45"/>
      <c r="L4" s="45"/>
      <c r="M4" s="46"/>
      <c r="N4" s="47"/>
      <c r="O4" s="48"/>
      <c r="P4" s="49"/>
      <c r="Q4" s="50"/>
      <c r="R4" s="621"/>
      <c r="S4" s="52"/>
      <c r="T4" s="53"/>
      <c r="U4" s="53"/>
      <c r="V4" s="53"/>
      <c r="W4" s="53"/>
      <c r="X4" s="53"/>
      <c r="Y4" s="53"/>
    </row>
    <row r="5" spans="1:25" s="1" customFormat="1" ht="16.5" customHeight="1" x14ac:dyDescent="0.25">
      <c r="A5" s="8">
        <v>1</v>
      </c>
      <c r="B5" s="55" t="s">
        <v>21</v>
      </c>
      <c r="C5" s="56" t="s">
        <v>22</v>
      </c>
      <c r="D5" s="57" t="s">
        <v>23</v>
      </c>
      <c r="E5" s="58"/>
      <c r="F5" s="58"/>
      <c r="G5" s="538">
        <v>25702088.719999999</v>
      </c>
      <c r="H5" s="60">
        <f t="shared" si="0"/>
        <v>3.3540822803718152E-2</v>
      </c>
      <c r="I5" s="562">
        <v>8.2000000000000007E-3</v>
      </c>
      <c r="J5" s="62" t="s">
        <v>24</v>
      </c>
      <c r="K5" s="62"/>
      <c r="L5" s="63"/>
      <c r="M5" s="64">
        <v>0</v>
      </c>
      <c r="N5" s="65"/>
      <c r="O5" s="688" t="s">
        <v>20</v>
      </c>
      <c r="P5" s="691">
        <f>SUM(G5:G10)/G71</f>
        <v>0.15449305596591628</v>
      </c>
      <c r="Q5" s="694">
        <v>1</v>
      </c>
      <c r="R5" s="675">
        <v>0.4</v>
      </c>
      <c r="S5" s="682" t="s">
        <v>175</v>
      </c>
      <c r="T5" s="66"/>
      <c r="U5" s="67"/>
      <c r="V5" s="66"/>
      <c r="W5" s="66"/>
      <c r="X5" s="66"/>
      <c r="Y5" s="68"/>
    </row>
    <row r="6" spans="1:25" s="1" customFormat="1" ht="16.5" thickBot="1" x14ac:dyDescent="0.3">
      <c r="A6" s="8">
        <v>2</v>
      </c>
      <c r="B6" s="69" t="s">
        <v>21</v>
      </c>
      <c r="C6" s="70" t="s">
        <v>22</v>
      </c>
      <c r="D6" s="71" t="s">
        <v>25</v>
      </c>
      <c r="E6" s="71"/>
      <c r="F6" s="72"/>
      <c r="G6" s="538">
        <v>11156770.17</v>
      </c>
      <c r="H6" s="73">
        <f t="shared" si="0"/>
        <v>1.4559410147961641E-2</v>
      </c>
      <c r="I6" s="531">
        <v>1.1999999999999999E-3</v>
      </c>
      <c r="J6" s="75" t="s">
        <v>26</v>
      </c>
      <c r="K6" s="76"/>
      <c r="L6" s="77"/>
      <c r="M6" s="78"/>
      <c r="N6" s="79"/>
      <c r="O6" s="689"/>
      <c r="P6" s="692"/>
      <c r="Q6" s="695"/>
      <c r="R6" s="697"/>
      <c r="S6" s="683"/>
      <c r="T6" s="66"/>
      <c r="U6" s="67"/>
      <c r="V6" s="66"/>
      <c r="W6" s="66"/>
      <c r="X6" s="66"/>
      <c r="Y6" s="68"/>
    </row>
    <row r="7" spans="1:25" s="1" customFormat="1" ht="15.75" x14ac:dyDescent="0.25">
      <c r="A7" s="8">
        <v>3</v>
      </c>
      <c r="B7" s="55" t="s">
        <v>21</v>
      </c>
      <c r="C7" s="56" t="s">
        <v>22</v>
      </c>
      <c r="D7" s="57" t="s">
        <v>27</v>
      </c>
      <c r="E7" s="80"/>
      <c r="F7" s="71"/>
      <c r="G7" s="588">
        <v>24256853.649999999</v>
      </c>
      <c r="H7" s="82">
        <f t="shared" si="0"/>
        <v>3.1654813696805797E-2</v>
      </c>
      <c r="I7" s="531">
        <v>3.5999999999999999E-3</v>
      </c>
      <c r="J7" s="62" t="s">
        <v>28</v>
      </c>
      <c r="K7" s="83"/>
      <c r="L7" s="623">
        <v>-0.107</v>
      </c>
      <c r="M7" s="85"/>
      <c r="N7" s="86"/>
      <c r="O7" s="689"/>
      <c r="P7" s="692"/>
      <c r="Q7" s="695"/>
      <c r="R7" s="697"/>
      <c r="S7" s="683"/>
      <c r="T7" s="66"/>
      <c r="U7" s="67"/>
      <c r="V7" s="66"/>
      <c r="W7" s="66"/>
      <c r="X7" s="66"/>
      <c r="Y7" s="68"/>
    </row>
    <row r="8" spans="1:25" s="1" customFormat="1" ht="16.5" thickBot="1" x14ac:dyDescent="0.3">
      <c r="A8" s="8">
        <v>4</v>
      </c>
      <c r="B8" s="55" t="s">
        <v>21</v>
      </c>
      <c r="C8" s="70" t="s">
        <v>22</v>
      </c>
      <c r="D8" s="87" t="s">
        <v>29</v>
      </c>
      <c r="E8" s="87"/>
      <c r="F8" s="71"/>
      <c r="G8" s="589">
        <v>27120063.68</v>
      </c>
      <c r="H8" s="73">
        <f t="shared" si="0"/>
        <v>3.5391257894484163E-2</v>
      </c>
      <c r="I8" s="531">
        <v>-8.0000000000000002E-3</v>
      </c>
      <c r="J8" s="89" t="s">
        <v>30</v>
      </c>
      <c r="K8" s="83"/>
      <c r="L8" s="90"/>
      <c r="M8" s="78"/>
      <c r="N8" s="79"/>
      <c r="O8" s="689"/>
      <c r="P8" s="692"/>
      <c r="Q8" s="695"/>
      <c r="R8" s="697"/>
      <c r="S8" s="683"/>
      <c r="T8" s="66"/>
      <c r="U8" s="67"/>
      <c r="V8" s="66"/>
      <c r="W8" s="66"/>
      <c r="X8" s="66"/>
      <c r="Y8" s="68"/>
    </row>
    <row r="9" spans="1:25" s="1" customFormat="1" ht="15.75" x14ac:dyDescent="0.25">
      <c r="A9" s="8">
        <v>5</v>
      </c>
      <c r="B9" s="69" t="s">
        <v>21</v>
      </c>
      <c r="C9" s="419" t="s">
        <v>22</v>
      </c>
      <c r="D9" s="87" t="s">
        <v>31</v>
      </c>
      <c r="E9" s="87"/>
      <c r="F9" s="80"/>
      <c r="G9" s="588">
        <v>11007555.26</v>
      </c>
      <c r="H9" s="73">
        <f t="shared" si="0"/>
        <v>1.4364687029910606E-2</v>
      </c>
      <c r="I9" s="526">
        <v>-8.0000000000000002E-3</v>
      </c>
      <c r="J9" s="420" t="s">
        <v>32</v>
      </c>
      <c r="K9" s="421"/>
      <c r="L9" s="422"/>
      <c r="M9" s="78"/>
      <c r="N9" s="91"/>
      <c r="O9" s="689"/>
      <c r="P9" s="692"/>
      <c r="Q9" s="695"/>
      <c r="R9" s="697"/>
      <c r="S9" s="683"/>
      <c r="T9" s="66"/>
      <c r="U9" s="67"/>
      <c r="V9" s="66"/>
      <c r="W9" s="66"/>
      <c r="X9" s="66"/>
      <c r="Y9" s="68"/>
    </row>
    <row r="10" spans="1:25" s="1" customFormat="1" ht="16.5" thickBot="1" x14ac:dyDescent="0.3">
      <c r="A10" s="8">
        <v>6</v>
      </c>
      <c r="B10" s="55" t="s">
        <v>21</v>
      </c>
      <c r="C10" s="157" t="s">
        <v>22</v>
      </c>
      <c r="D10" s="71" t="s">
        <v>33</v>
      </c>
      <c r="E10" s="71"/>
      <c r="F10" s="71"/>
      <c r="G10" s="538">
        <v>19143574.359999999</v>
      </c>
      <c r="H10" s="73">
        <f t="shared" si="0"/>
        <v>2.4982064393035918E-2</v>
      </c>
      <c r="I10" s="531">
        <v>-8.0000000000000002E-3</v>
      </c>
      <c r="J10" s="75" t="s">
        <v>34</v>
      </c>
      <c r="K10" s="421"/>
      <c r="L10" s="83"/>
      <c r="M10" s="85"/>
      <c r="N10" s="79"/>
      <c r="O10" s="690"/>
      <c r="P10" s="693"/>
      <c r="Q10" s="696"/>
      <c r="R10" s="676"/>
      <c r="S10" s="684"/>
      <c r="T10" s="67"/>
      <c r="U10" s="67"/>
      <c r="V10" s="66"/>
      <c r="W10" s="67"/>
      <c r="X10" s="67"/>
      <c r="Y10" s="97"/>
    </row>
    <row r="11" spans="1:25" s="54" customFormat="1" ht="16.5" thickBot="1" x14ac:dyDescent="0.25">
      <c r="A11" s="40"/>
      <c r="B11" s="402" t="s">
        <v>167</v>
      </c>
      <c r="C11" s="403"/>
      <c r="D11" s="404"/>
      <c r="E11" s="404"/>
      <c r="F11" s="404"/>
      <c r="G11" s="43">
        <f>SUM(G12:G18)</f>
        <v>274921301.22999996</v>
      </c>
      <c r="H11" s="44">
        <f t="shared" si="0"/>
        <v>0.35876798769073154</v>
      </c>
      <c r="I11" s="98"/>
      <c r="J11" s="99"/>
      <c r="K11" s="45"/>
      <c r="L11" s="45"/>
      <c r="M11" s="148"/>
      <c r="N11" s="423"/>
      <c r="O11" s="48"/>
      <c r="P11" s="424"/>
      <c r="Q11" s="622"/>
      <c r="R11" s="103"/>
      <c r="S11" s="425"/>
      <c r="T11" s="53"/>
      <c r="U11" s="53"/>
      <c r="V11" s="53"/>
      <c r="W11" s="53"/>
      <c r="X11" s="53"/>
      <c r="Y11" s="53"/>
    </row>
    <row r="12" spans="1:25" s="1" customFormat="1" ht="15.75" customHeight="1" thickBot="1" x14ac:dyDescent="0.3">
      <c r="A12" s="8">
        <v>7</v>
      </c>
      <c r="B12" s="608" t="s">
        <v>35</v>
      </c>
      <c r="C12" s="105" t="s">
        <v>36</v>
      </c>
      <c r="D12" s="106" t="s">
        <v>37</v>
      </c>
      <c r="E12" s="609" t="s">
        <v>38</v>
      </c>
      <c r="F12" s="107" t="s">
        <v>39</v>
      </c>
      <c r="G12" s="563">
        <v>67350221.519999996</v>
      </c>
      <c r="H12" s="233">
        <f t="shared" si="0"/>
        <v>8.7890983118257826E-2</v>
      </c>
      <c r="I12" s="564">
        <v>4.4000000000000003E-3</v>
      </c>
      <c r="J12" s="610"/>
      <c r="K12" s="167"/>
      <c r="L12" s="168" t="s">
        <v>40</v>
      </c>
      <c r="M12" s="612">
        <v>1137325220.3800001</v>
      </c>
      <c r="N12" s="116">
        <f t="shared" ref="N12:N18" si="1">G12/M12</f>
        <v>5.9218084953305716E-2</v>
      </c>
      <c r="O12" s="659" t="s">
        <v>41</v>
      </c>
      <c r="P12" s="662">
        <f>(SUM(G12:G18)/G71)</f>
        <v>0.35876798769073154</v>
      </c>
      <c r="Q12" s="655">
        <v>1</v>
      </c>
      <c r="R12" s="655">
        <v>0.5</v>
      </c>
      <c r="S12" s="657" t="s">
        <v>174</v>
      </c>
      <c r="T12" s="67"/>
      <c r="U12" s="67"/>
      <c r="V12" s="66"/>
      <c r="W12" s="67"/>
      <c r="X12" s="67"/>
      <c r="Y12" s="97"/>
    </row>
    <row r="13" spans="1:25" s="1" customFormat="1" ht="15.75" customHeight="1" x14ac:dyDescent="0.25">
      <c r="A13" s="8"/>
      <c r="B13" s="55" t="s">
        <v>35</v>
      </c>
      <c r="C13" s="105" t="s">
        <v>77</v>
      </c>
      <c r="D13" s="87" t="s">
        <v>242</v>
      </c>
      <c r="E13" s="120" t="s">
        <v>38</v>
      </c>
      <c r="F13" s="129" t="s">
        <v>39</v>
      </c>
      <c r="G13" s="529">
        <v>24664865.18</v>
      </c>
      <c r="H13" s="82">
        <f t="shared" si="0"/>
        <v>3.2187262346356799E-2</v>
      </c>
      <c r="I13" s="613">
        <v>-2.0000000000000001E-4</v>
      </c>
      <c r="J13" s="124"/>
      <c r="K13" s="172"/>
      <c r="L13" s="132" t="s">
        <v>40</v>
      </c>
      <c r="M13" s="567">
        <v>2084814916.3499999</v>
      </c>
      <c r="N13" s="146">
        <f t="shared" si="1"/>
        <v>1.1830721752117034E-2</v>
      </c>
      <c r="O13" s="660"/>
      <c r="P13" s="663"/>
      <c r="Q13" s="665"/>
      <c r="R13" s="665"/>
      <c r="S13" s="677"/>
      <c r="T13" s="67"/>
      <c r="U13" s="67"/>
      <c r="V13" s="66"/>
      <c r="W13" s="67"/>
      <c r="X13" s="67"/>
      <c r="Y13" s="97"/>
    </row>
    <row r="14" spans="1:25" s="1" customFormat="1" ht="15.75" customHeight="1" thickBot="1" x14ac:dyDescent="0.3">
      <c r="A14" s="8">
        <v>8</v>
      </c>
      <c r="B14" s="117" t="s">
        <v>42</v>
      </c>
      <c r="C14" s="118" t="s">
        <v>43</v>
      </c>
      <c r="D14" s="57" t="s">
        <v>44</v>
      </c>
      <c r="E14" s="119" t="s">
        <v>38</v>
      </c>
      <c r="F14" s="120" t="s">
        <v>39</v>
      </c>
      <c r="G14" s="528">
        <v>29523148.780000001</v>
      </c>
      <c r="H14" s="122">
        <f t="shared" si="0"/>
        <v>3.8527246272683002E-2</v>
      </c>
      <c r="I14" s="539">
        <v>1.46E-4</v>
      </c>
      <c r="J14" s="124"/>
      <c r="K14" s="125"/>
      <c r="L14" s="126" t="s">
        <v>45</v>
      </c>
      <c r="M14" s="547">
        <v>5450225090.3400002</v>
      </c>
      <c r="N14" s="128">
        <f t="shared" si="1"/>
        <v>5.4168677973184896E-3</v>
      </c>
      <c r="O14" s="660"/>
      <c r="P14" s="663"/>
      <c r="Q14" s="665"/>
      <c r="R14" s="665"/>
      <c r="S14" s="677"/>
      <c r="T14" s="67"/>
      <c r="U14" s="67"/>
      <c r="V14" s="66"/>
      <c r="W14" s="67"/>
      <c r="X14" s="67"/>
      <c r="Y14" s="97"/>
    </row>
    <row r="15" spans="1:25" s="1" customFormat="1" ht="15.75" customHeight="1" x14ac:dyDescent="0.25">
      <c r="A15" s="8">
        <v>9</v>
      </c>
      <c r="B15" s="117" t="s">
        <v>46</v>
      </c>
      <c r="C15" s="105" t="s">
        <v>36</v>
      </c>
      <c r="D15" s="71" t="s">
        <v>47</v>
      </c>
      <c r="E15" s="129" t="s">
        <v>48</v>
      </c>
      <c r="F15" s="129" t="s">
        <v>49</v>
      </c>
      <c r="G15" s="538">
        <v>12202951.310000001</v>
      </c>
      <c r="H15" s="122">
        <f t="shared" si="0"/>
        <v>1.5924660132879284E-2</v>
      </c>
      <c r="I15" s="562">
        <v>-6.4000000000000003E-3</v>
      </c>
      <c r="J15" s="131"/>
      <c r="K15" s="125"/>
      <c r="L15" s="132" t="s">
        <v>40</v>
      </c>
      <c r="M15" s="547">
        <v>266769930.24000001</v>
      </c>
      <c r="N15" s="133">
        <f t="shared" si="1"/>
        <v>4.574335382935249E-2</v>
      </c>
      <c r="O15" s="660"/>
      <c r="P15" s="663"/>
      <c r="Q15" s="665"/>
      <c r="R15" s="665"/>
      <c r="S15" s="677"/>
      <c r="T15" s="67"/>
      <c r="U15" s="67"/>
      <c r="V15" s="66"/>
      <c r="W15" s="67"/>
      <c r="X15" s="67"/>
      <c r="Y15" s="97"/>
    </row>
    <row r="16" spans="1:25" s="1" customFormat="1" ht="16.5" thickBot="1" x14ac:dyDescent="0.3">
      <c r="A16" s="8">
        <v>10</v>
      </c>
      <c r="B16" s="134" t="s">
        <v>50</v>
      </c>
      <c r="C16" s="93" t="s">
        <v>51</v>
      </c>
      <c r="D16" s="71" t="s">
        <v>52</v>
      </c>
      <c r="E16" s="120" t="s">
        <v>38</v>
      </c>
      <c r="F16" s="120" t="s">
        <v>38</v>
      </c>
      <c r="G16" s="568">
        <v>53005172.539999999</v>
      </c>
      <c r="H16" s="122">
        <f t="shared" si="0"/>
        <v>6.9170919111380583E-2</v>
      </c>
      <c r="I16" s="531">
        <v>4.2069999999999998E-3</v>
      </c>
      <c r="J16" s="136"/>
      <c r="K16" s="137"/>
      <c r="L16" s="138" t="s">
        <v>53</v>
      </c>
      <c r="M16" s="548">
        <v>7668949035.8800001</v>
      </c>
      <c r="N16" s="133">
        <f t="shared" si="1"/>
        <v>6.91166055374858E-3</v>
      </c>
      <c r="O16" s="660"/>
      <c r="P16" s="663"/>
      <c r="Q16" s="665"/>
      <c r="R16" s="665"/>
      <c r="S16" s="677"/>
      <c r="T16" s="67"/>
      <c r="U16" s="67"/>
      <c r="V16" s="66"/>
      <c r="W16" s="67"/>
      <c r="X16" s="67"/>
      <c r="Y16" s="97"/>
    </row>
    <row r="17" spans="1:25" s="1" customFormat="1" ht="16.5" thickBot="1" x14ac:dyDescent="0.3">
      <c r="A17" s="8">
        <v>11</v>
      </c>
      <c r="B17" s="134" t="s">
        <v>50</v>
      </c>
      <c r="C17" s="93" t="s">
        <v>51</v>
      </c>
      <c r="D17" s="71" t="s">
        <v>54</v>
      </c>
      <c r="E17" s="120" t="s">
        <v>38</v>
      </c>
      <c r="F17" s="120" t="s">
        <v>38</v>
      </c>
      <c r="G17" s="568">
        <v>81213442.439999998</v>
      </c>
      <c r="H17" s="122">
        <f t="shared" si="0"/>
        <v>0.10598226906128287</v>
      </c>
      <c r="I17" s="531">
        <v>3.4200000000000002E-4</v>
      </c>
      <c r="J17" s="136"/>
      <c r="K17" s="137"/>
      <c r="L17" s="138" t="s">
        <v>53</v>
      </c>
      <c r="M17" s="548">
        <v>2475197893.0100002</v>
      </c>
      <c r="N17" s="133">
        <f t="shared" si="1"/>
        <v>3.2810888644236529E-2</v>
      </c>
      <c r="O17" s="660"/>
      <c r="P17" s="663"/>
      <c r="Q17" s="665"/>
      <c r="R17" s="665"/>
      <c r="S17" s="677"/>
      <c r="T17" s="67"/>
      <c r="U17" s="67"/>
      <c r="V17" s="66"/>
      <c r="W17" s="67"/>
      <c r="X17" s="67"/>
      <c r="Y17" s="97"/>
    </row>
    <row r="18" spans="1:25" s="1" customFormat="1" ht="16.5" thickBot="1" x14ac:dyDescent="0.3">
      <c r="A18" s="8">
        <v>12</v>
      </c>
      <c r="B18" s="55" t="s">
        <v>55</v>
      </c>
      <c r="C18" s="105" t="s">
        <v>36</v>
      </c>
      <c r="D18" s="71" t="s">
        <v>56</v>
      </c>
      <c r="E18" s="140" t="s">
        <v>38</v>
      </c>
      <c r="F18" s="140" t="s">
        <v>39</v>
      </c>
      <c r="G18" s="565">
        <v>6961499.46</v>
      </c>
      <c r="H18" s="122">
        <f t="shared" si="0"/>
        <v>9.0846476478912263E-3</v>
      </c>
      <c r="I18" s="531">
        <v>4.1000000000000003E-3</v>
      </c>
      <c r="J18" s="143"/>
      <c r="K18" s="144"/>
      <c r="L18" s="145" t="s">
        <v>53</v>
      </c>
      <c r="M18" s="569">
        <v>1315428330.5799999</v>
      </c>
      <c r="N18" s="146">
        <f t="shared" si="1"/>
        <v>5.292192131007646E-3</v>
      </c>
      <c r="O18" s="660"/>
      <c r="P18" s="663"/>
      <c r="Q18" s="665"/>
      <c r="R18" s="665"/>
      <c r="S18" s="677"/>
      <c r="T18" s="67"/>
      <c r="U18" s="67"/>
      <c r="V18" s="66"/>
      <c r="W18" s="67"/>
      <c r="X18" s="67"/>
      <c r="Y18" s="97"/>
    </row>
    <row r="19" spans="1:25" s="1" customFormat="1" ht="16.5" thickBot="1" x14ac:dyDescent="0.3">
      <c r="A19" s="217"/>
      <c r="B19" s="405" t="s">
        <v>173</v>
      </c>
      <c r="C19" s="406"/>
      <c r="D19" s="407"/>
      <c r="E19" s="408"/>
      <c r="F19" s="408"/>
      <c r="G19" s="387"/>
      <c r="H19" s="44"/>
      <c r="I19" s="44"/>
      <c r="J19" s="44"/>
      <c r="K19" s="378"/>
      <c r="L19" s="382"/>
      <c r="M19" s="375"/>
      <c r="N19" s="219"/>
      <c r="O19" s="376" t="s">
        <v>41</v>
      </c>
      <c r="P19" s="362">
        <v>0</v>
      </c>
      <c r="Q19" s="201">
        <v>1</v>
      </c>
      <c r="R19" s="103">
        <v>0</v>
      </c>
      <c r="S19" s="619" t="s">
        <v>168</v>
      </c>
      <c r="T19" s="67"/>
      <c r="U19" s="67"/>
      <c r="V19" s="66"/>
      <c r="W19" s="67"/>
      <c r="X19" s="67"/>
      <c r="Y19" s="97"/>
    </row>
    <row r="20" spans="1:25" s="1" customFormat="1" ht="16.5" thickBot="1" x14ac:dyDescent="0.3">
      <c r="A20" s="217"/>
      <c r="B20" s="405" t="s">
        <v>169</v>
      </c>
      <c r="C20" s="406"/>
      <c r="D20" s="409"/>
      <c r="E20" s="410"/>
      <c r="F20" s="410"/>
      <c r="G20" s="388"/>
      <c r="H20" s="44"/>
      <c r="I20" s="130"/>
      <c r="J20" s="130"/>
      <c r="K20" s="232"/>
      <c r="L20" s="126"/>
      <c r="M20" s="380"/>
      <c r="N20" s="263"/>
      <c r="O20" s="381" t="s">
        <v>41</v>
      </c>
      <c r="P20" s="384">
        <v>0</v>
      </c>
      <c r="Q20" s="200">
        <v>0.05</v>
      </c>
      <c r="R20" s="201">
        <v>0</v>
      </c>
      <c r="S20" s="202" t="s">
        <v>170</v>
      </c>
      <c r="T20" s="67"/>
      <c r="U20" s="67"/>
      <c r="V20" s="66"/>
      <c r="W20" s="67"/>
      <c r="X20" s="67"/>
      <c r="Y20" s="97"/>
    </row>
    <row r="21" spans="1:25" s="54" customFormat="1" ht="16.5" thickBot="1" x14ac:dyDescent="0.25">
      <c r="A21" s="40"/>
      <c r="B21" s="402" t="s">
        <v>171</v>
      </c>
      <c r="C21" s="403"/>
      <c r="D21" s="404"/>
      <c r="E21" s="404"/>
      <c r="F21" s="404"/>
      <c r="G21" s="43">
        <f xml:space="preserve"> SUM(G22:G25)</f>
        <v>147458655.59</v>
      </c>
      <c r="H21" s="44">
        <f>G21/$G$71</f>
        <v>0.1924312335818088</v>
      </c>
      <c r="I21" s="98"/>
      <c r="J21" s="45"/>
      <c r="K21" s="45"/>
      <c r="L21" s="383"/>
      <c r="M21" s="148"/>
      <c r="N21" s="149"/>
      <c r="O21" s="163"/>
      <c r="P21" s="386"/>
      <c r="Q21" s="620"/>
      <c r="R21" s="386"/>
      <c r="S21" s="152"/>
      <c r="T21" s="53"/>
      <c r="U21" s="53"/>
      <c r="V21" s="53"/>
      <c r="W21" s="53"/>
      <c r="X21" s="53"/>
      <c r="Y21" s="53"/>
    </row>
    <row r="22" spans="1:25" s="54" customFormat="1" ht="23.25" customHeight="1" thickBot="1" x14ac:dyDescent="0.25">
      <c r="A22" s="40"/>
      <c r="B22" s="117" t="s">
        <v>42</v>
      </c>
      <c r="C22" s="118" t="s">
        <v>43</v>
      </c>
      <c r="D22" s="57" t="s">
        <v>61</v>
      </c>
      <c r="E22" s="119" t="s">
        <v>38</v>
      </c>
      <c r="F22" s="119" t="s">
        <v>39</v>
      </c>
      <c r="G22" s="528">
        <v>22261708.43</v>
      </c>
      <c r="H22" s="122">
        <f>G22/$G$71</f>
        <v>2.9051180466031345E-2</v>
      </c>
      <c r="I22" s="539">
        <v>4.2839999999999996E-3</v>
      </c>
      <c r="J22" s="124"/>
      <c r="K22" s="125"/>
      <c r="L22" s="145" t="s">
        <v>53</v>
      </c>
      <c r="M22" s="547">
        <v>2255256718.3099999</v>
      </c>
      <c r="N22" s="128">
        <f>G22/M22</f>
        <v>9.8710307563930205E-3</v>
      </c>
      <c r="O22" s="715" t="s">
        <v>243</v>
      </c>
      <c r="P22" s="721">
        <f>SUM(G22:G25)/G71</f>
        <v>0.1924312335818088</v>
      </c>
      <c r="Q22" s="655">
        <v>0.6</v>
      </c>
      <c r="R22" s="655">
        <v>0.35</v>
      </c>
      <c r="S22" s="718" t="s">
        <v>244</v>
      </c>
      <c r="T22" s="53"/>
      <c r="U22" s="53"/>
      <c r="V22" s="53"/>
      <c r="W22" s="53"/>
      <c r="X22" s="53"/>
      <c r="Y22" s="53"/>
    </row>
    <row r="23" spans="1:25" s="54" customFormat="1" ht="16.5" customHeight="1" x14ac:dyDescent="0.2">
      <c r="A23" s="40"/>
      <c r="B23" s="55" t="s">
        <v>42</v>
      </c>
      <c r="C23" s="56" t="s">
        <v>43</v>
      </c>
      <c r="D23" s="57" t="s">
        <v>59</v>
      </c>
      <c r="E23" s="119" t="s">
        <v>38</v>
      </c>
      <c r="F23" s="129" t="s">
        <v>39</v>
      </c>
      <c r="G23" s="538">
        <v>51110714.880000003</v>
      </c>
      <c r="H23" s="82">
        <f>G23/$G$71</f>
        <v>6.6698681567753951E-2</v>
      </c>
      <c r="I23" s="531">
        <v>-4.0020000000000003E-3</v>
      </c>
      <c r="J23" s="124"/>
      <c r="K23" s="172"/>
      <c r="L23" s="132" t="s">
        <v>40</v>
      </c>
      <c r="M23" s="567">
        <v>892147310.44000006</v>
      </c>
      <c r="N23" s="133">
        <f>G23/M23</f>
        <v>5.728954656018926E-2</v>
      </c>
      <c r="O23" s="716"/>
      <c r="P23" s="722"/>
      <c r="Q23" s="665"/>
      <c r="R23" s="665"/>
      <c r="S23" s="719"/>
      <c r="T23" s="53"/>
      <c r="U23" s="53"/>
      <c r="V23" s="53"/>
      <c r="W23" s="53"/>
      <c r="X23" s="53"/>
      <c r="Y23" s="53"/>
    </row>
    <row r="24" spans="1:25" s="54" customFormat="1" ht="16.5" customHeight="1" x14ac:dyDescent="0.2">
      <c r="A24" s="40"/>
      <c r="B24" s="55" t="s">
        <v>62</v>
      </c>
      <c r="C24" s="157" t="s">
        <v>63</v>
      </c>
      <c r="D24" s="158" t="s">
        <v>64</v>
      </c>
      <c r="E24" s="119" t="s">
        <v>38</v>
      </c>
      <c r="F24" s="119" t="s">
        <v>39</v>
      </c>
      <c r="G24" s="538">
        <v>46526867.469999999</v>
      </c>
      <c r="H24" s="73">
        <f>G24/$G$71</f>
        <v>6.0716832566569255E-2</v>
      </c>
      <c r="I24" s="545">
        <v>-4.3E-3</v>
      </c>
      <c r="J24" s="390"/>
      <c r="K24" s="391"/>
      <c r="L24" s="160" t="s">
        <v>40</v>
      </c>
      <c r="M24" s="547">
        <v>1261917384.0999999</v>
      </c>
      <c r="N24" s="133">
        <f>G24/M24</f>
        <v>3.6869979014658702E-2</v>
      </c>
      <c r="O24" s="716"/>
      <c r="P24" s="722"/>
      <c r="Q24" s="665"/>
      <c r="R24" s="665"/>
      <c r="S24" s="719"/>
      <c r="T24" s="53"/>
      <c r="U24" s="53"/>
      <c r="V24" s="53"/>
      <c r="W24" s="602"/>
      <c r="X24" s="53"/>
      <c r="Y24" s="53"/>
    </row>
    <row r="25" spans="1:25" s="54" customFormat="1" ht="16.5" customHeight="1" thickBot="1" x14ac:dyDescent="0.25">
      <c r="A25" s="40"/>
      <c r="B25" s="511" t="s">
        <v>62</v>
      </c>
      <c r="C25" s="157" t="s">
        <v>65</v>
      </c>
      <c r="D25" s="512" t="s">
        <v>66</v>
      </c>
      <c r="E25" s="389" t="s">
        <v>38</v>
      </c>
      <c r="F25" s="389" t="s">
        <v>39</v>
      </c>
      <c r="G25" s="544">
        <v>27559364.809999999</v>
      </c>
      <c r="H25" s="95">
        <f>G25/$G$71</f>
        <v>3.5964538981454248E-2</v>
      </c>
      <c r="I25" s="546">
        <v>3.8E-3</v>
      </c>
      <c r="J25" s="196"/>
      <c r="K25" s="197"/>
      <c r="L25" s="374" t="s">
        <v>53</v>
      </c>
      <c r="M25" s="548">
        <v>536163794.24000001</v>
      </c>
      <c r="N25" s="146">
        <f>G25/M25</f>
        <v>5.1401017946511612E-2</v>
      </c>
      <c r="O25" s="717"/>
      <c r="P25" s="723"/>
      <c r="Q25" s="656"/>
      <c r="R25" s="656"/>
      <c r="S25" s="720"/>
      <c r="T25" s="53"/>
      <c r="U25" s="53"/>
      <c r="V25" s="53"/>
      <c r="W25" s="53"/>
      <c r="X25" s="53"/>
      <c r="Y25" s="53"/>
    </row>
    <row r="26" spans="1:25" s="1" customFormat="1" ht="16.5" thickBot="1" x14ac:dyDescent="0.3">
      <c r="A26" s="8"/>
      <c r="B26" s="411" t="s">
        <v>181</v>
      </c>
      <c r="C26" s="406"/>
      <c r="D26" s="412"/>
      <c r="E26" s="408"/>
      <c r="F26" s="410"/>
      <c r="G26" s="367"/>
      <c r="H26" s="393"/>
      <c r="I26" s="260"/>
      <c r="J26" s="260"/>
      <c r="K26" s="395"/>
      <c r="L26" s="368"/>
      <c r="M26" s="396"/>
      <c r="N26" s="44"/>
      <c r="O26" s="385" t="s">
        <v>172</v>
      </c>
      <c r="P26" s="384">
        <v>0</v>
      </c>
      <c r="Q26" s="201">
        <v>0.6</v>
      </c>
      <c r="R26" s="618">
        <v>0</v>
      </c>
      <c r="S26" s="379" t="s">
        <v>180</v>
      </c>
      <c r="T26" s="162"/>
      <c r="U26" s="67"/>
      <c r="V26" s="66"/>
      <c r="W26" s="66"/>
      <c r="X26" s="66"/>
      <c r="Y26" s="68"/>
    </row>
    <row r="27" spans="1:25" s="54" customFormat="1" ht="16.5" thickBot="1" x14ac:dyDescent="0.25">
      <c r="A27" s="40"/>
      <c r="B27" s="402" t="s">
        <v>176</v>
      </c>
      <c r="C27" s="403"/>
      <c r="D27" s="404"/>
      <c r="E27" s="404"/>
      <c r="F27" s="404"/>
      <c r="G27" s="397">
        <f>SUM(G28:G33)</f>
        <v>64629160.700000003</v>
      </c>
      <c r="H27" s="260">
        <f t="shared" ref="H27:H33" si="2">G27/$G$71</f>
        <v>8.4340041410911643E-2</v>
      </c>
      <c r="I27" s="392"/>
      <c r="J27" s="45"/>
      <c r="K27" s="187"/>
      <c r="L27" s="45"/>
      <c r="M27" s="148"/>
      <c r="N27" s="149"/>
      <c r="O27" s="42"/>
      <c r="P27" s="620"/>
      <c r="Q27" s="620"/>
      <c r="R27" s="621"/>
      <c r="S27" s="163"/>
      <c r="T27" s="53"/>
      <c r="U27" s="53"/>
      <c r="V27" s="53"/>
      <c r="W27" s="53"/>
      <c r="X27" s="53"/>
      <c r="Y27" s="53"/>
    </row>
    <row r="28" spans="1:25" s="1" customFormat="1" ht="15.75" x14ac:dyDescent="0.25">
      <c r="A28" s="8">
        <v>19</v>
      </c>
      <c r="B28" s="55" t="s">
        <v>72</v>
      </c>
      <c r="C28" s="157" t="s">
        <v>68</v>
      </c>
      <c r="D28" s="71" t="s">
        <v>73</v>
      </c>
      <c r="E28" s="140" t="s">
        <v>70</v>
      </c>
      <c r="F28" s="140" t="s">
        <v>74</v>
      </c>
      <c r="G28" s="565">
        <v>724062.52</v>
      </c>
      <c r="H28" s="164">
        <f t="shared" si="2"/>
        <v>9.4489023622565849E-4</v>
      </c>
      <c r="I28" s="526">
        <v>4.4000000000000003E-3</v>
      </c>
      <c r="J28" s="624"/>
      <c r="K28" s="144"/>
      <c r="L28" s="145" t="s">
        <v>71</v>
      </c>
      <c r="M28" s="566">
        <v>8298531266.0500002</v>
      </c>
      <c r="N28" s="133">
        <f t="shared" ref="N28:N33" si="3">G28/M28</f>
        <v>8.7251887928916003E-5</v>
      </c>
      <c r="O28" s="659" t="s">
        <v>172</v>
      </c>
      <c r="P28" s="662">
        <f>SUM(G28:G33)/G71</f>
        <v>8.4340041410911643E-2</v>
      </c>
      <c r="Q28" s="655">
        <v>0.4</v>
      </c>
      <c r="R28" s="655">
        <v>0.3</v>
      </c>
      <c r="S28" s="657" t="s">
        <v>177</v>
      </c>
      <c r="T28" s="67"/>
      <c r="U28" s="67"/>
      <c r="V28" s="66"/>
      <c r="W28" s="67"/>
      <c r="X28" s="67"/>
      <c r="Y28" s="97"/>
    </row>
    <row r="29" spans="1:25" s="1" customFormat="1" ht="15.75" x14ac:dyDescent="0.25">
      <c r="A29" s="8"/>
      <c r="B29" s="55" t="s">
        <v>72</v>
      </c>
      <c r="C29" s="157" t="s">
        <v>68</v>
      </c>
      <c r="D29" s="71" t="s">
        <v>69</v>
      </c>
      <c r="E29" s="140" t="s">
        <v>70</v>
      </c>
      <c r="F29" s="140" t="s">
        <v>70</v>
      </c>
      <c r="G29" s="565">
        <v>177883.81</v>
      </c>
      <c r="H29" s="164">
        <f t="shared" si="2"/>
        <v>2.3213558305934705E-4</v>
      </c>
      <c r="I29" s="526">
        <v>5.1000000000000004E-3</v>
      </c>
      <c r="J29" s="171"/>
      <c r="K29" s="172"/>
      <c r="L29" s="145" t="s">
        <v>71</v>
      </c>
      <c r="M29" s="566">
        <v>6681676467.8599997</v>
      </c>
      <c r="N29" s="133">
        <f t="shared" si="3"/>
        <v>2.662263143922807E-5</v>
      </c>
      <c r="O29" s="660"/>
      <c r="P29" s="663"/>
      <c r="Q29" s="665"/>
      <c r="R29" s="665"/>
      <c r="S29" s="677"/>
      <c r="T29" s="67"/>
      <c r="U29" s="67"/>
      <c r="V29" s="66"/>
      <c r="W29" s="67"/>
      <c r="X29" s="67"/>
      <c r="Y29" s="97"/>
    </row>
    <row r="30" spans="1:25" s="1" customFormat="1" ht="16.5" thickBot="1" x14ac:dyDescent="0.3">
      <c r="A30" s="8">
        <v>21</v>
      </c>
      <c r="B30" s="173" t="s">
        <v>75</v>
      </c>
      <c r="C30" s="174"/>
      <c r="D30" s="175" t="s">
        <v>76</v>
      </c>
      <c r="E30" s="140" t="s">
        <v>38</v>
      </c>
      <c r="F30" s="129" t="s">
        <v>39</v>
      </c>
      <c r="G30" s="538">
        <v>16236020.869999999</v>
      </c>
      <c r="H30" s="176">
        <f t="shared" si="2"/>
        <v>2.1187752675306298E-2</v>
      </c>
      <c r="I30" s="540">
        <v>4.0000000000000002E-4</v>
      </c>
      <c r="J30" s="177"/>
      <c r="K30" s="178"/>
      <c r="L30" s="126" t="s">
        <v>71</v>
      </c>
      <c r="M30" s="541">
        <v>209312582.94</v>
      </c>
      <c r="N30" s="133">
        <f t="shared" si="3"/>
        <v>7.7568298293151816E-2</v>
      </c>
      <c r="O30" s="660"/>
      <c r="P30" s="663"/>
      <c r="Q30" s="665"/>
      <c r="R30" s="665"/>
      <c r="S30" s="677"/>
      <c r="T30" s="67"/>
      <c r="U30" s="67"/>
      <c r="V30" s="66"/>
      <c r="W30" s="67"/>
      <c r="X30" s="67"/>
      <c r="Y30" s="97"/>
    </row>
    <row r="31" spans="1:25" s="1" customFormat="1" ht="16.5" thickBot="1" x14ac:dyDescent="0.3">
      <c r="A31" s="8">
        <v>22</v>
      </c>
      <c r="B31" s="55" t="s">
        <v>55</v>
      </c>
      <c r="C31" s="105" t="s">
        <v>77</v>
      </c>
      <c r="D31" s="71" t="s">
        <v>78</v>
      </c>
      <c r="E31" s="140" t="s">
        <v>38</v>
      </c>
      <c r="F31" s="140" t="s">
        <v>38</v>
      </c>
      <c r="G31" s="565">
        <v>6472212.6200000001</v>
      </c>
      <c r="H31" s="142">
        <f t="shared" si="2"/>
        <v>8.4461359930831491E-3</v>
      </c>
      <c r="I31" s="531">
        <v>5.1000000000000004E-3</v>
      </c>
      <c r="J31" s="143"/>
      <c r="K31" s="144"/>
      <c r="L31" s="126" t="s">
        <v>71</v>
      </c>
      <c r="M31" s="569">
        <v>10845925063.57</v>
      </c>
      <c r="N31" s="133">
        <f t="shared" si="3"/>
        <v>5.967414104435674E-4</v>
      </c>
      <c r="O31" s="660"/>
      <c r="P31" s="663"/>
      <c r="Q31" s="665"/>
      <c r="R31" s="665"/>
      <c r="S31" s="677"/>
      <c r="T31" s="67"/>
      <c r="U31" s="67"/>
      <c r="V31" s="66"/>
      <c r="W31" s="67"/>
      <c r="X31" s="67"/>
      <c r="Y31" s="97"/>
    </row>
    <row r="32" spans="1:25" s="1" customFormat="1" ht="15.75" x14ac:dyDescent="0.25">
      <c r="A32" s="8">
        <v>23</v>
      </c>
      <c r="B32" s="55" t="s">
        <v>55</v>
      </c>
      <c r="C32" s="105" t="s">
        <v>36</v>
      </c>
      <c r="D32" s="71" t="s">
        <v>79</v>
      </c>
      <c r="E32" s="140" t="s">
        <v>38</v>
      </c>
      <c r="F32" s="140" t="s">
        <v>39</v>
      </c>
      <c r="G32" s="565">
        <v>26940600.039999999</v>
      </c>
      <c r="H32" s="142">
        <f t="shared" si="2"/>
        <v>3.5157060658044532E-2</v>
      </c>
      <c r="I32" s="531">
        <v>5.8999999999999999E-3</v>
      </c>
      <c r="J32" s="143"/>
      <c r="K32" s="144"/>
      <c r="L32" s="145" t="s">
        <v>80</v>
      </c>
      <c r="M32" s="569">
        <v>1494479068.4000001</v>
      </c>
      <c r="N32" s="133">
        <f t="shared" si="3"/>
        <v>1.8026749661233327E-2</v>
      </c>
      <c r="O32" s="660"/>
      <c r="P32" s="663"/>
      <c r="Q32" s="665"/>
      <c r="R32" s="665"/>
      <c r="S32" s="677"/>
      <c r="T32" s="67"/>
      <c r="U32" s="67"/>
      <c r="V32" s="66"/>
      <c r="W32" s="67"/>
      <c r="X32" s="67"/>
      <c r="Y32" s="97"/>
    </row>
    <row r="33" spans="1:25" s="1" customFormat="1" ht="16.5" thickBot="1" x14ac:dyDescent="0.3">
      <c r="A33" s="8">
        <v>24</v>
      </c>
      <c r="B33" s="173" t="s">
        <v>62</v>
      </c>
      <c r="C33" s="180"/>
      <c r="D33" s="625" t="s">
        <v>81</v>
      </c>
      <c r="E33" s="223" t="s">
        <v>38</v>
      </c>
      <c r="F33" s="389" t="s">
        <v>38</v>
      </c>
      <c r="G33" s="529">
        <v>14078380.84</v>
      </c>
      <c r="H33" s="95">
        <f t="shared" si="2"/>
        <v>1.8372066265192655E-2</v>
      </c>
      <c r="I33" s="540">
        <v>5.1000000000000004E-3</v>
      </c>
      <c r="J33" s="211"/>
      <c r="K33" s="183"/>
      <c r="L33" s="126" t="s">
        <v>71</v>
      </c>
      <c r="M33" s="541">
        <v>9019941616.7399998</v>
      </c>
      <c r="N33" s="146">
        <f t="shared" si="3"/>
        <v>1.5608062045404047E-3</v>
      </c>
      <c r="O33" s="661"/>
      <c r="P33" s="664"/>
      <c r="Q33" s="656"/>
      <c r="R33" s="656"/>
      <c r="S33" s="658"/>
      <c r="T33" s="67"/>
      <c r="U33" s="67"/>
      <c r="V33" s="66"/>
      <c r="W33" s="67"/>
      <c r="X33" s="67"/>
      <c r="Y33" s="97"/>
    </row>
    <row r="34" spans="1:25" s="1" customFormat="1" ht="16.5" thickBot="1" x14ac:dyDescent="0.3">
      <c r="A34" s="8"/>
      <c r="B34" s="411" t="s">
        <v>178</v>
      </c>
      <c r="C34" s="406"/>
      <c r="D34" s="407"/>
      <c r="E34" s="408"/>
      <c r="F34" s="413"/>
      <c r="G34" s="387"/>
      <c r="H34" s="260"/>
      <c r="I34" s="44"/>
      <c r="J34" s="44"/>
      <c r="K34" s="183"/>
      <c r="L34" s="513"/>
      <c r="M34" s="507"/>
      <c r="N34" s="508"/>
      <c r="O34" s="400" t="s">
        <v>60</v>
      </c>
      <c r="P34" s="384">
        <v>0</v>
      </c>
      <c r="Q34" s="200">
        <v>0.4</v>
      </c>
      <c r="R34" s="201">
        <v>0</v>
      </c>
      <c r="S34" s="202" t="s">
        <v>179</v>
      </c>
      <c r="T34" s="67"/>
      <c r="U34" s="67"/>
      <c r="V34" s="66"/>
      <c r="W34" s="67"/>
      <c r="X34" s="67"/>
      <c r="Y34" s="97"/>
    </row>
    <row r="35" spans="1:25" s="1" customFormat="1" ht="16.5" thickBot="1" x14ac:dyDescent="0.3">
      <c r="A35" s="8"/>
      <c r="B35" s="503" t="s">
        <v>182</v>
      </c>
      <c r="C35" s="406"/>
      <c r="D35" s="504"/>
      <c r="E35" s="413"/>
      <c r="F35" s="413"/>
      <c r="G35" s="387"/>
      <c r="H35" s="260"/>
      <c r="I35" s="44"/>
      <c r="J35" s="260"/>
      <c r="K35" s="183"/>
      <c r="L35" s="398"/>
      <c r="M35" s="185"/>
      <c r="N35" s="260"/>
      <c r="O35" s="399" t="s">
        <v>60</v>
      </c>
      <c r="P35" s="384">
        <v>0</v>
      </c>
      <c r="Q35" s="201">
        <v>0.2</v>
      </c>
      <c r="R35" s="103">
        <v>0</v>
      </c>
      <c r="S35" s="202" t="s">
        <v>183</v>
      </c>
      <c r="T35" s="67"/>
      <c r="U35" s="67"/>
      <c r="V35" s="66"/>
      <c r="W35" s="67"/>
      <c r="X35" s="67"/>
      <c r="Y35" s="97"/>
    </row>
    <row r="36" spans="1:25" s="1" customFormat="1" ht="16.5" thickBot="1" x14ac:dyDescent="0.3">
      <c r="A36" s="8"/>
      <c r="B36" s="411" t="s">
        <v>184</v>
      </c>
      <c r="C36" s="406"/>
      <c r="D36" s="504"/>
      <c r="E36" s="413"/>
      <c r="F36" s="413"/>
      <c r="G36" s="377"/>
      <c r="H36" s="260"/>
      <c r="I36" s="44"/>
      <c r="J36" s="260"/>
      <c r="K36" s="183"/>
      <c r="L36" s="398"/>
      <c r="M36" s="185"/>
      <c r="N36" s="260"/>
      <c r="O36" s="369" t="s">
        <v>60</v>
      </c>
      <c r="P36" s="362">
        <v>0</v>
      </c>
      <c r="Q36" s="102">
        <v>0.15</v>
      </c>
      <c r="R36" s="103">
        <v>0</v>
      </c>
      <c r="S36" s="202" t="s">
        <v>186</v>
      </c>
      <c r="T36" s="67"/>
      <c r="U36" s="67"/>
      <c r="V36" s="66"/>
      <c r="W36" s="67"/>
      <c r="X36" s="67"/>
      <c r="Y36" s="97"/>
    </row>
    <row r="37" spans="1:25" s="1" customFormat="1" ht="16.5" thickBot="1" x14ac:dyDescent="0.3">
      <c r="A37" s="8"/>
      <c r="B37" s="411" t="s">
        <v>185</v>
      </c>
      <c r="C37" s="509"/>
      <c r="D37" s="504"/>
      <c r="E37" s="413"/>
      <c r="F37" s="413"/>
      <c r="G37" s="377"/>
      <c r="H37" s="260"/>
      <c r="I37" s="44"/>
      <c r="J37" s="260"/>
      <c r="K37" s="183"/>
      <c r="L37" s="398"/>
      <c r="M37" s="185"/>
      <c r="N37" s="260"/>
      <c r="O37" s="369" t="s">
        <v>60</v>
      </c>
      <c r="P37" s="362">
        <v>0</v>
      </c>
      <c r="Q37" s="102">
        <v>0.15</v>
      </c>
      <c r="R37" s="103">
        <v>0</v>
      </c>
      <c r="S37" s="202" t="s">
        <v>187</v>
      </c>
      <c r="T37" s="67"/>
      <c r="U37" s="67"/>
      <c r="V37" s="66"/>
      <c r="W37" s="67"/>
      <c r="X37" s="67"/>
      <c r="Y37" s="97"/>
    </row>
    <row r="38" spans="1:25" s="54" customFormat="1" ht="16.5" thickBot="1" x14ac:dyDescent="0.25">
      <c r="A38" s="40"/>
      <c r="B38" s="510" t="s">
        <v>188</v>
      </c>
      <c r="C38" s="403"/>
      <c r="D38" s="404"/>
      <c r="E38" s="404"/>
      <c r="F38" s="404"/>
      <c r="G38" s="43">
        <f>SUM(G39:G41)</f>
        <v>7219258.5899999999</v>
      </c>
      <c r="H38" s="44">
        <f>G38/$G$71</f>
        <v>9.4210192712077048E-3</v>
      </c>
      <c r="I38" s="98"/>
      <c r="J38" s="45"/>
      <c r="K38" s="45"/>
      <c r="L38" s="187"/>
      <c r="M38" s="188"/>
      <c r="N38" s="189"/>
      <c r="O38" s="190"/>
      <c r="P38" s="191"/>
      <c r="Q38" s="620"/>
      <c r="R38" s="621"/>
      <c r="S38" s="152"/>
      <c r="T38" s="53"/>
      <c r="U38" s="53"/>
      <c r="V38" s="53"/>
      <c r="W38" s="53"/>
      <c r="X38" s="53"/>
      <c r="Y38" s="53"/>
    </row>
    <row r="39" spans="1:25" s="1" customFormat="1" ht="16.5" thickBot="1" x14ac:dyDescent="0.3">
      <c r="A39" s="8">
        <v>25</v>
      </c>
      <c r="B39" s="104" t="s">
        <v>82</v>
      </c>
      <c r="C39" s="118"/>
      <c r="D39" s="208" t="s">
        <v>83</v>
      </c>
      <c r="E39" s="120" t="s">
        <v>84</v>
      </c>
      <c r="F39" s="120" t="s">
        <v>85</v>
      </c>
      <c r="G39" s="559">
        <v>7139802.04</v>
      </c>
      <c r="H39" s="225">
        <f>G39/$G$71</f>
        <v>9.3173297192347942E-3</v>
      </c>
      <c r="I39" s="545">
        <v>6.1000000000000004E-3</v>
      </c>
      <c r="J39" s="234"/>
      <c r="K39" s="429"/>
      <c r="L39" s="126" t="s">
        <v>71</v>
      </c>
      <c r="M39" s="574">
        <v>568645636.95000005</v>
      </c>
      <c r="N39" s="216">
        <f>G39/M39</f>
        <v>1.2555802025133254E-2</v>
      </c>
      <c r="O39" s="698" t="s">
        <v>60</v>
      </c>
      <c r="P39" s="662">
        <f>SUM(G39:G41)/G71</f>
        <v>9.4210192712077048E-3</v>
      </c>
      <c r="Q39" s="701">
        <v>0.05</v>
      </c>
      <c r="R39" s="675">
        <v>0.02</v>
      </c>
      <c r="S39" s="657" t="s">
        <v>193</v>
      </c>
      <c r="T39" s="67"/>
      <c r="U39" s="67"/>
      <c r="V39" s="67"/>
      <c r="W39" s="67"/>
      <c r="X39" s="66"/>
      <c r="Y39" s="68"/>
    </row>
    <row r="40" spans="1:25" s="1" customFormat="1" ht="15.75" customHeight="1" x14ac:dyDescent="0.25">
      <c r="A40" s="8">
        <v>26</v>
      </c>
      <c r="B40" s="117" t="s">
        <v>86</v>
      </c>
      <c r="C40" s="105" t="s">
        <v>87</v>
      </c>
      <c r="D40" s="71" t="s">
        <v>88</v>
      </c>
      <c r="E40" s="129" t="s">
        <v>89</v>
      </c>
      <c r="F40" s="129" t="s">
        <v>89</v>
      </c>
      <c r="G40" s="538">
        <v>37570.6</v>
      </c>
      <c r="H40" s="82">
        <f>G40/$G$71</f>
        <v>4.90290439410394E-5</v>
      </c>
      <c r="I40" s="576">
        <v>-2.29E-2</v>
      </c>
      <c r="J40" s="124"/>
      <c r="K40" s="430"/>
      <c r="L40" s="132" t="s">
        <v>71</v>
      </c>
      <c r="M40" s="567">
        <v>876648.77</v>
      </c>
      <c r="N40" s="133">
        <f>G40/M40</f>
        <v>4.2857072622140335E-2</v>
      </c>
      <c r="O40" s="699"/>
      <c r="P40" s="663"/>
      <c r="Q40" s="702"/>
      <c r="R40" s="697"/>
      <c r="S40" s="677"/>
      <c r="T40" s="67"/>
      <c r="U40" s="67"/>
      <c r="V40" s="66"/>
      <c r="W40" s="67"/>
      <c r="X40" s="66"/>
      <c r="Y40" s="68"/>
    </row>
    <row r="41" spans="1:25" s="1" customFormat="1" ht="16.5" thickBot="1" x14ac:dyDescent="0.3">
      <c r="A41" s="8">
        <v>27</v>
      </c>
      <c r="B41" s="192" t="s">
        <v>90</v>
      </c>
      <c r="C41" s="118"/>
      <c r="D41" s="92" t="s">
        <v>91</v>
      </c>
      <c r="E41" s="193" t="s">
        <v>89</v>
      </c>
      <c r="F41" s="193" t="s">
        <v>89</v>
      </c>
      <c r="G41" s="575">
        <v>41885.949999999997</v>
      </c>
      <c r="H41" s="195">
        <f>G41/$G$71</f>
        <v>5.4660508031870114E-5</v>
      </c>
      <c r="I41" s="577">
        <v>-3.9399999999999998E-2</v>
      </c>
      <c r="J41" s="161"/>
      <c r="K41" s="204"/>
      <c r="L41" s="184" t="s">
        <v>71</v>
      </c>
      <c r="M41" s="578">
        <v>841920.33</v>
      </c>
      <c r="N41" s="186">
        <f>G41/M41</f>
        <v>4.9750491237098404E-2</v>
      </c>
      <c r="O41" s="700"/>
      <c r="P41" s="664"/>
      <c r="Q41" s="703"/>
      <c r="R41" s="676"/>
      <c r="S41" s="658"/>
      <c r="T41" s="67"/>
      <c r="U41" s="67"/>
      <c r="V41" s="66"/>
      <c r="W41" s="67"/>
      <c r="X41" s="66"/>
      <c r="Y41" s="68"/>
    </row>
    <row r="42" spans="1:25" s="1" customFormat="1" ht="16.5" thickBot="1" x14ac:dyDescent="0.3">
      <c r="A42" s="8"/>
      <c r="B42" s="414" t="s">
        <v>189</v>
      </c>
      <c r="C42" s="406"/>
      <c r="D42" s="415"/>
      <c r="E42" s="413"/>
      <c r="F42" s="413"/>
      <c r="G42" s="366"/>
      <c r="H42" s="260"/>
      <c r="I42" s="401"/>
      <c r="J42" s="260"/>
      <c r="K42" s="183"/>
      <c r="L42" s="398"/>
      <c r="M42" s="185"/>
      <c r="N42" s="44"/>
      <c r="O42" s="392" t="s">
        <v>60</v>
      </c>
      <c r="P42" s="384">
        <v>0</v>
      </c>
      <c r="Q42" s="200">
        <v>0.05</v>
      </c>
      <c r="R42" s="201">
        <v>0.01</v>
      </c>
      <c r="S42" s="619" t="s">
        <v>191</v>
      </c>
      <c r="T42" s="67"/>
      <c r="U42" s="67"/>
      <c r="V42" s="66"/>
      <c r="W42" s="67"/>
      <c r="X42" s="66"/>
      <c r="Y42" s="68"/>
    </row>
    <row r="43" spans="1:25" s="1" customFormat="1" ht="16.5" thickBot="1" x14ac:dyDescent="0.3">
      <c r="A43" s="8"/>
      <c r="B43" s="414" t="s">
        <v>190</v>
      </c>
      <c r="C43" s="406"/>
      <c r="D43" s="415"/>
      <c r="E43" s="413"/>
      <c r="F43" s="413"/>
      <c r="G43" s="366"/>
      <c r="H43" s="260"/>
      <c r="I43" s="401"/>
      <c r="J43" s="260"/>
      <c r="K43" s="183"/>
      <c r="L43" s="398"/>
      <c r="M43" s="185"/>
      <c r="N43" s="260"/>
      <c r="O43" s="392" t="s">
        <v>60</v>
      </c>
      <c r="P43" s="384">
        <v>0</v>
      </c>
      <c r="Q43" s="200">
        <v>0.05</v>
      </c>
      <c r="R43" s="201">
        <v>0</v>
      </c>
      <c r="S43" s="619" t="s">
        <v>192</v>
      </c>
      <c r="T43" s="67"/>
      <c r="U43" s="67"/>
      <c r="V43" s="66"/>
      <c r="W43" s="67"/>
      <c r="X43" s="66"/>
      <c r="Y43" s="68"/>
    </row>
    <row r="44" spans="1:25" s="54" customFormat="1" ht="16.5" thickBot="1" x14ac:dyDescent="0.25">
      <c r="A44" s="40"/>
      <c r="B44" s="402" t="s">
        <v>194</v>
      </c>
      <c r="C44" s="403"/>
      <c r="D44" s="404"/>
      <c r="E44" s="404"/>
      <c r="F44" s="404"/>
      <c r="G44" s="43">
        <f>SUM(G45:G46)</f>
        <v>56876664.740000002</v>
      </c>
      <c r="H44" s="44">
        <f t="shared" ref="H44:H55" si="4">G44/$G$71</f>
        <v>7.422315573233397E-2</v>
      </c>
      <c r="I44" s="98"/>
      <c r="J44" s="45"/>
      <c r="K44" s="45"/>
      <c r="L44" s="45"/>
      <c r="M44" s="148"/>
      <c r="N44" s="101"/>
      <c r="O44" s="42"/>
      <c r="P44" s="205">
        <f>SUM((G4+G11+G21+G27+G38)/G71)*100</f>
        <v>79.94533379205761</v>
      </c>
      <c r="Q44" s="50"/>
      <c r="R44" s="621"/>
      <c r="S44" s="152"/>
      <c r="T44" s="53"/>
      <c r="U44" s="53"/>
      <c r="V44" s="53"/>
      <c r="W44" s="53"/>
      <c r="X44" s="53"/>
      <c r="Y44" s="53"/>
    </row>
    <row r="45" spans="1:25" s="1" customFormat="1" ht="15.75" x14ac:dyDescent="0.25">
      <c r="A45" s="8">
        <v>28</v>
      </c>
      <c r="B45" s="206" t="s">
        <v>55</v>
      </c>
      <c r="C45" s="207"/>
      <c r="D45" s="208" t="s">
        <v>92</v>
      </c>
      <c r="E45" s="209" t="s">
        <v>93</v>
      </c>
      <c r="F45" s="209" t="s">
        <v>94</v>
      </c>
      <c r="G45" s="571">
        <v>34307165.350000001</v>
      </c>
      <c r="H45" s="82">
        <f t="shared" si="4"/>
        <v>4.4770312889271253E-2</v>
      </c>
      <c r="I45" s="551">
        <v>-4.5900000000000003E-2</v>
      </c>
      <c r="J45" s="112"/>
      <c r="K45" s="125"/>
      <c r="L45" s="145" t="s">
        <v>95</v>
      </c>
      <c r="M45" s="572">
        <v>674378078.38999999</v>
      </c>
      <c r="N45" s="434">
        <f>G45/M45</f>
        <v>5.0872302124506198E-2</v>
      </c>
      <c r="O45" s="711" t="s">
        <v>96</v>
      </c>
      <c r="P45" s="680">
        <f>(SUM(G45:G46)/G71)</f>
        <v>7.422315573233397E-2</v>
      </c>
      <c r="Q45" s="655">
        <v>0.3</v>
      </c>
      <c r="R45" s="655">
        <v>0.15</v>
      </c>
      <c r="S45" s="666" t="s">
        <v>196</v>
      </c>
      <c r="T45" s="67"/>
      <c r="U45" s="67"/>
      <c r="V45" s="66"/>
      <c r="W45" s="67"/>
      <c r="X45" s="67"/>
      <c r="Y45" s="212"/>
    </row>
    <row r="46" spans="1:25" s="1" customFormat="1" ht="16.5" thickBot="1" x14ac:dyDescent="0.3">
      <c r="A46" s="8"/>
      <c r="B46" s="245" t="s">
        <v>116</v>
      </c>
      <c r="C46" s="92" t="s">
        <v>100</v>
      </c>
      <c r="D46" s="549" t="s">
        <v>235</v>
      </c>
      <c r="E46" s="120" t="s">
        <v>39</v>
      </c>
      <c r="F46" s="120" t="s">
        <v>94</v>
      </c>
      <c r="G46" s="525">
        <v>22569499.390000001</v>
      </c>
      <c r="H46" s="240">
        <f t="shared" si="4"/>
        <v>2.9452842843062717E-2</v>
      </c>
      <c r="I46" s="555">
        <v>3.09E-2</v>
      </c>
      <c r="J46" s="171"/>
      <c r="K46" s="552"/>
      <c r="L46" s="248" t="s">
        <v>236</v>
      </c>
      <c r="M46" s="556">
        <v>343388176.17000002</v>
      </c>
      <c r="N46" s="553">
        <f t="shared" ref="N46" si="5">G46/M46</f>
        <v>6.5725907169344691E-2</v>
      </c>
      <c r="O46" s="713"/>
      <c r="P46" s="714"/>
      <c r="Q46" s="656"/>
      <c r="R46" s="656"/>
      <c r="S46" s="668"/>
      <c r="T46" s="554"/>
      <c r="U46" s="67"/>
      <c r="V46" s="66"/>
      <c r="W46" s="67"/>
      <c r="X46" s="67"/>
      <c r="Y46" s="212"/>
    </row>
    <row r="47" spans="1:25" s="1" customFormat="1" ht="16.5" thickBot="1" x14ac:dyDescent="0.3">
      <c r="A47" s="217"/>
      <c r="B47" s="402" t="s">
        <v>199</v>
      </c>
      <c r="C47" s="403"/>
      <c r="D47" s="404"/>
      <c r="E47" s="404"/>
      <c r="F47" s="404"/>
      <c r="G47" s="43">
        <f>SUM(G48)</f>
        <v>0</v>
      </c>
      <c r="H47" s="219">
        <f t="shared" si="4"/>
        <v>0</v>
      </c>
      <c r="I47" s="98"/>
      <c r="J47" s="45"/>
      <c r="K47" s="45"/>
      <c r="L47" s="45"/>
      <c r="M47" s="148"/>
      <c r="N47" s="149"/>
      <c r="O47" s="42"/>
      <c r="P47" s="191"/>
      <c r="Q47" s="620"/>
      <c r="R47" s="254"/>
      <c r="S47" s="220"/>
      <c r="T47" s="67"/>
      <c r="U47" s="67"/>
      <c r="V47" s="66"/>
      <c r="W47" s="67"/>
      <c r="X47" s="67"/>
      <c r="Y47" s="212"/>
    </row>
    <row r="48" spans="1:25" s="1" customFormat="1" ht="16.5" thickBot="1" x14ac:dyDescent="0.3">
      <c r="A48" s="217">
        <v>31</v>
      </c>
      <c r="B48" s="221" t="s">
        <v>50</v>
      </c>
      <c r="C48" s="118"/>
      <c r="D48" s="222" t="s">
        <v>101</v>
      </c>
      <c r="E48" s="223" t="s">
        <v>39</v>
      </c>
      <c r="F48" s="129" t="s">
        <v>49</v>
      </c>
      <c r="G48" s="224">
        <v>0</v>
      </c>
      <c r="H48" s="225">
        <f t="shared" si="4"/>
        <v>0</v>
      </c>
      <c r="I48" s="74">
        <v>0</v>
      </c>
      <c r="J48" s="171"/>
      <c r="K48" s="226"/>
      <c r="L48" s="145" t="s">
        <v>95</v>
      </c>
      <c r="M48" s="214">
        <v>0</v>
      </c>
      <c r="N48" s="216">
        <v>0</v>
      </c>
      <c r="O48" s="227" t="s">
        <v>96</v>
      </c>
      <c r="P48" s="228">
        <f>G48/G71</f>
        <v>0</v>
      </c>
      <c r="Q48" s="229">
        <v>0.3</v>
      </c>
      <c r="R48" s="230">
        <v>0.02</v>
      </c>
      <c r="S48" s="619" t="s">
        <v>195</v>
      </c>
      <c r="T48" s="67"/>
      <c r="U48" s="67"/>
      <c r="V48" s="66"/>
      <c r="W48" s="67"/>
      <c r="X48" s="67"/>
      <c r="Y48" s="212"/>
    </row>
    <row r="49" spans="1:25" s="54" customFormat="1" ht="16.5" thickBot="1" x14ac:dyDescent="0.25">
      <c r="A49" s="40"/>
      <c r="B49" s="402" t="s">
        <v>197</v>
      </c>
      <c r="C49" s="403"/>
      <c r="D49" s="404"/>
      <c r="E49" s="404"/>
      <c r="F49" s="404"/>
      <c r="G49" s="43">
        <f>SUM(G50:G55)</f>
        <v>64020993.789999999</v>
      </c>
      <c r="H49" s="44">
        <f t="shared" si="4"/>
        <v>8.3546393128641039E-2</v>
      </c>
      <c r="I49" s="98"/>
      <c r="J49" s="29"/>
      <c r="K49" s="45"/>
      <c r="L49" s="45"/>
      <c r="M49" s="148"/>
      <c r="N49" s="149"/>
      <c r="O49" s="41"/>
      <c r="P49" s="49"/>
      <c r="Q49" s="50"/>
      <c r="R49" s="49"/>
      <c r="S49" s="516"/>
      <c r="T49" s="53"/>
      <c r="U49" s="53"/>
      <c r="V49" s="53"/>
      <c r="W49" s="53"/>
      <c r="X49" s="53"/>
      <c r="Y49" s="53"/>
    </row>
    <row r="50" spans="1:25" s="1" customFormat="1" ht="15.75" x14ac:dyDescent="0.25">
      <c r="A50" s="8">
        <v>34</v>
      </c>
      <c r="B50" s="55" t="s">
        <v>107</v>
      </c>
      <c r="C50" s="231"/>
      <c r="D50" s="71" t="s">
        <v>108</v>
      </c>
      <c r="E50" s="140" t="s">
        <v>39</v>
      </c>
      <c r="F50" s="140" t="s">
        <v>49</v>
      </c>
      <c r="G50" s="538">
        <v>8640776.3699999992</v>
      </c>
      <c r="H50" s="82">
        <f t="shared" si="4"/>
        <v>1.1276077686526829E-2</v>
      </c>
      <c r="I50" s="539">
        <v>-4.0899999999999999E-2</v>
      </c>
      <c r="J50" s="211"/>
      <c r="K50" s="178"/>
      <c r="L50" s="126" t="s">
        <v>95</v>
      </c>
      <c r="M50" s="527">
        <v>196913073.43000001</v>
      </c>
      <c r="N50" s="82">
        <f t="shared" ref="N50:N55" si="6">G50/M50</f>
        <v>4.3881171623029291E-2</v>
      </c>
      <c r="O50" s="659" t="s">
        <v>96</v>
      </c>
      <c r="P50" s="662">
        <f>(SUM(G50:G55)/G71)</f>
        <v>8.3546393128641039E-2</v>
      </c>
      <c r="Q50" s="655">
        <v>0.2</v>
      </c>
      <c r="R50" s="655">
        <v>0.15</v>
      </c>
      <c r="S50" s="666" t="s">
        <v>233</v>
      </c>
      <c r="T50" s="514"/>
      <c r="U50" s="67"/>
      <c r="V50" s="66"/>
      <c r="W50" s="67"/>
      <c r="X50" s="67"/>
      <c r="Y50" s="212"/>
    </row>
    <row r="51" spans="1:25" s="1" customFormat="1" ht="15.75" x14ac:dyDescent="0.25">
      <c r="A51" s="8"/>
      <c r="B51" s="55" t="s">
        <v>107</v>
      </c>
      <c r="C51" s="231"/>
      <c r="D51" s="71" t="s">
        <v>252</v>
      </c>
      <c r="E51" s="140" t="s">
        <v>253</v>
      </c>
      <c r="F51" s="140" t="s">
        <v>254</v>
      </c>
      <c r="G51" s="538">
        <v>5986544.7699999996</v>
      </c>
      <c r="H51" s="82">
        <f t="shared" ref="H51" si="7">G51/$G$71</f>
        <v>7.8123470634839376E-3</v>
      </c>
      <c r="I51" s="539">
        <v>-3.0700000000000002E-2</v>
      </c>
      <c r="J51" s="211"/>
      <c r="K51" s="178"/>
      <c r="L51" s="126" t="s">
        <v>95</v>
      </c>
      <c r="M51" s="527">
        <v>717829001.25999999</v>
      </c>
      <c r="N51" s="82">
        <f t="shared" ref="N51" si="8">G51/M51</f>
        <v>8.3397922896565353E-3</v>
      </c>
      <c r="O51" s="660"/>
      <c r="P51" s="663"/>
      <c r="Q51" s="665"/>
      <c r="R51" s="665"/>
      <c r="S51" s="667"/>
      <c r="T51" s="514"/>
      <c r="U51" s="67"/>
      <c r="V51" s="66"/>
      <c r="W51" s="67"/>
      <c r="X51" s="67"/>
      <c r="Y51" s="212"/>
    </row>
    <row r="52" spans="1:25" s="1" customFormat="1" ht="19.5" thickBot="1" x14ac:dyDescent="0.3">
      <c r="A52" s="8"/>
      <c r="B52" s="69" t="s">
        <v>113</v>
      </c>
      <c r="C52" s="70" t="s">
        <v>114</v>
      </c>
      <c r="D52" s="87" t="s">
        <v>115</v>
      </c>
      <c r="E52" s="223" t="s">
        <v>39</v>
      </c>
      <c r="F52" s="223" t="s">
        <v>49</v>
      </c>
      <c r="G52" s="529">
        <v>21168568.059999999</v>
      </c>
      <c r="H52" s="73">
        <f t="shared" si="4"/>
        <v>2.7624649422224378E-2</v>
      </c>
      <c r="I52" s="531">
        <v>-3.2899999999999999E-2</v>
      </c>
      <c r="J52" s="211"/>
      <c r="K52" s="433"/>
      <c r="L52" s="126" t="s">
        <v>95</v>
      </c>
      <c r="M52" s="533">
        <v>200215339.43000001</v>
      </c>
      <c r="N52" s="435">
        <f t="shared" si="6"/>
        <v>0.1057290021846754</v>
      </c>
      <c r="O52" s="660"/>
      <c r="P52" s="663"/>
      <c r="Q52" s="665"/>
      <c r="R52" s="665"/>
      <c r="S52" s="667"/>
      <c r="T52" s="514"/>
      <c r="U52" s="67"/>
      <c r="V52" s="66"/>
      <c r="W52" s="67"/>
      <c r="X52" s="67"/>
      <c r="Y52" s="212"/>
    </row>
    <row r="53" spans="1:25" s="1" customFormat="1" ht="15.75" x14ac:dyDescent="0.25">
      <c r="A53" s="8"/>
      <c r="B53" s="55" t="s">
        <v>75</v>
      </c>
      <c r="C53" s="231"/>
      <c r="D53" s="71" t="s">
        <v>103</v>
      </c>
      <c r="E53" s="140" t="s">
        <v>104</v>
      </c>
      <c r="F53" s="432" t="s">
        <v>105</v>
      </c>
      <c r="G53" s="538">
        <v>19582854.940000001</v>
      </c>
      <c r="H53" s="73">
        <f t="shared" si="4"/>
        <v>2.5555318662578201E-2</v>
      </c>
      <c r="I53" s="539">
        <v>-2.5999999999999999E-2</v>
      </c>
      <c r="J53" s="177"/>
      <c r="K53" s="178"/>
      <c r="L53" s="132" t="s">
        <v>95</v>
      </c>
      <c r="M53" s="542">
        <v>599564848.42999995</v>
      </c>
      <c r="N53" s="435">
        <f t="shared" si="6"/>
        <v>3.2661779607792214E-2</v>
      </c>
      <c r="O53" s="660"/>
      <c r="P53" s="663"/>
      <c r="Q53" s="665"/>
      <c r="R53" s="665"/>
      <c r="S53" s="667"/>
      <c r="T53" s="514"/>
      <c r="U53" s="67"/>
      <c r="V53" s="66"/>
      <c r="W53" s="67"/>
      <c r="X53" s="67"/>
      <c r="Y53" s="212"/>
    </row>
    <row r="54" spans="1:25" s="1" customFormat="1" ht="15.75" x14ac:dyDescent="0.25">
      <c r="A54" s="8"/>
      <c r="B54" s="55" t="s">
        <v>75</v>
      </c>
      <c r="C54" s="231"/>
      <c r="D54" s="71" t="s">
        <v>106</v>
      </c>
      <c r="E54" s="140" t="s">
        <v>39</v>
      </c>
      <c r="F54" s="140" t="s">
        <v>49</v>
      </c>
      <c r="G54" s="538">
        <v>2512521.83</v>
      </c>
      <c r="H54" s="550">
        <f t="shared" si="4"/>
        <v>3.2788015950208603E-3</v>
      </c>
      <c r="I54" s="551">
        <v>-4.3499999999999997E-2</v>
      </c>
      <c r="J54" s="234"/>
      <c r="K54" s="235"/>
      <c r="L54" s="236" t="s">
        <v>95</v>
      </c>
      <c r="M54" s="533">
        <v>472313252.19</v>
      </c>
      <c r="N54" s="82">
        <f t="shared" si="6"/>
        <v>5.3196090059934933E-3</v>
      </c>
      <c r="O54" s="660"/>
      <c r="P54" s="663"/>
      <c r="Q54" s="665"/>
      <c r="R54" s="665"/>
      <c r="S54" s="667"/>
      <c r="T54" s="514"/>
      <c r="U54" s="67"/>
      <c r="V54" s="66"/>
      <c r="W54" s="67"/>
      <c r="X54" s="67"/>
      <c r="Y54" s="212"/>
    </row>
    <row r="55" spans="1:25" s="1" customFormat="1" ht="16.5" thickBot="1" x14ac:dyDescent="0.3">
      <c r="A55" s="8">
        <v>35</v>
      </c>
      <c r="B55" s="206" t="s">
        <v>50</v>
      </c>
      <c r="C55" s="118"/>
      <c r="D55" s="215" t="s">
        <v>109</v>
      </c>
      <c r="E55" s="120" t="s">
        <v>110</v>
      </c>
      <c r="F55" s="120" t="s">
        <v>111</v>
      </c>
      <c r="G55" s="525">
        <v>6129727.8200000003</v>
      </c>
      <c r="H55" s="73">
        <f t="shared" si="4"/>
        <v>7.9991986988068239E-3</v>
      </c>
      <c r="I55" s="526">
        <v>-5.3400000000000003E-2</v>
      </c>
      <c r="J55" s="130"/>
      <c r="K55" s="232"/>
      <c r="L55" s="126" t="s">
        <v>112</v>
      </c>
      <c r="M55" s="527">
        <v>387954203.89999998</v>
      </c>
      <c r="N55" s="240">
        <f t="shared" si="6"/>
        <v>1.580013248568899E-2</v>
      </c>
      <c r="O55" s="661"/>
      <c r="P55" s="664"/>
      <c r="Q55" s="656"/>
      <c r="R55" s="656"/>
      <c r="S55" s="668"/>
      <c r="T55" s="515"/>
      <c r="U55" s="67"/>
      <c r="V55" s="66"/>
      <c r="W55" s="67"/>
      <c r="X55" s="67"/>
      <c r="Y55" s="212"/>
    </row>
    <row r="56" spans="1:25" s="1" customFormat="1" ht="16.5" thickBot="1" x14ac:dyDescent="0.3">
      <c r="A56" s="8"/>
      <c r="B56" s="418" t="s">
        <v>200</v>
      </c>
      <c r="C56" s="406"/>
      <c r="D56" s="416"/>
      <c r="E56" s="410"/>
      <c r="F56" s="410"/>
      <c r="G56" s="426"/>
      <c r="H56" s="44"/>
      <c r="I56" s="44"/>
      <c r="J56" s="44"/>
      <c r="K56" s="378"/>
      <c r="L56" s="513"/>
      <c r="M56" s="507"/>
      <c r="N56" s="44"/>
      <c r="O56" s="369" t="s">
        <v>96</v>
      </c>
      <c r="P56" s="362">
        <v>0</v>
      </c>
      <c r="Q56" s="622">
        <v>0.2</v>
      </c>
      <c r="R56" s="618">
        <v>0</v>
      </c>
      <c r="S56" s="619" t="s">
        <v>198</v>
      </c>
      <c r="T56" s="67"/>
      <c r="U56" s="67"/>
      <c r="V56" s="66"/>
      <c r="W56" s="67"/>
      <c r="X56" s="67"/>
      <c r="Y56" s="212"/>
    </row>
    <row r="57" spans="1:25" s="54" customFormat="1" ht="16.5" thickBot="1" x14ac:dyDescent="0.25">
      <c r="A57" s="40"/>
      <c r="B57" s="418" t="s">
        <v>201</v>
      </c>
      <c r="C57" s="403"/>
      <c r="D57" s="404"/>
      <c r="E57" s="404"/>
      <c r="F57" s="404"/>
      <c r="G57" s="43">
        <f>G58+G59</f>
        <v>3503122.85</v>
      </c>
      <c r="H57" s="44">
        <f>G57/$G$71</f>
        <v>4.5715203947637034E-3</v>
      </c>
      <c r="I57" s="244"/>
      <c r="J57" s="45"/>
      <c r="K57" s="45"/>
      <c r="L57" s="45"/>
      <c r="M57" s="148"/>
      <c r="N57" s="149"/>
      <c r="O57" s="190"/>
      <c r="P57" s="191"/>
      <c r="Q57" s="620"/>
      <c r="R57" s="621"/>
      <c r="S57" s="220"/>
      <c r="T57" s="53"/>
      <c r="U57" s="53"/>
      <c r="V57" s="53"/>
      <c r="W57" s="53"/>
      <c r="X57" s="53"/>
      <c r="Y57" s="53"/>
    </row>
    <row r="58" spans="1:25" s="1" customFormat="1" ht="16.5" thickBot="1" x14ac:dyDescent="0.3">
      <c r="A58" s="8">
        <v>39</v>
      </c>
      <c r="B58" s="245" t="s">
        <v>116</v>
      </c>
      <c r="C58" s="92" t="s">
        <v>100</v>
      </c>
      <c r="D58" s="246" t="s">
        <v>117</v>
      </c>
      <c r="E58" s="120" t="s">
        <v>38</v>
      </c>
      <c r="F58" s="120" t="s">
        <v>39</v>
      </c>
      <c r="G58" s="525">
        <v>3503122.85</v>
      </c>
      <c r="H58" s="233">
        <f>G58/$G$71</f>
        <v>4.5715203947637034E-3</v>
      </c>
      <c r="I58" s="557">
        <v>1.6000000000000001E-3</v>
      </c>
      <c r="J58" s="171"/>
      <c r="K58" s="247"/>
      <c r="L58" s="248" t="s">
        <v>118</v>
      </c>
      <c r="M58" s="558">
        <v>1037025558.5</v>
      </c>
      <c r="N58" s="156">
        <f t="shared" ref="N58" si="9">G58/M58</f>
        <v>3.3780487098766139E-3</v>
      </c>
      <c r="O58" s="669" t="s">
        <v>102</v>
      </c>
      <c r="P58" s="671">
        <f>SUM(G58:G59)/G71</f>
        <v>4.5715203947637034E-3</v>
      </c>
      <c r="Q58" s="673">
        <v>0.1</v>
      </c>
      <c r="R58" s="675">
        <v>0.03</v>
      </c>
      <c r="S58" s="666" t="s">
        <v>204</v>
      </c>
      <c r="T58" s="67"/>
      <c r="U58" s="67"/>
      <c r="V58" s="66"/>
      <c r="W58" s="67"/>
      <c r="X58" s="67"/>
      <c r="Y58" s="97"/>
    </row>
    <row r="59" spans="1:25" s="1" customFormat="1" ht="16.5" thickBot="1" x14ac:dyDescent="0.3">
      <c r="A59" s="8">
        <v>40</v>
      </c>
      <c r="B59" s="192" t="s">
        <v>107</v>
      </c>
      <c r="C59" s="231"/>
      <c r="D59" s="92" t="s">
        <v>119</v>
      </c>
      <c r="E59" s="140" t="s">
        <v>120</v>
      </c>
      <c r="F59" s="140" t="s">
        <v>120</v>
      </c>
      <c r="G59" s="560">
        <v>0</v>
      </c>
      <c r="H59" s="242">
        <f t="shared" ref="H59:H69" si="10">G59/$G$71</f>
        <v>0</v>
      </c>
      <c r="I59" s="555">
        <v>0</v>
      </c>
      <c r="J59" s="161"/>
      <c r="K59" s="204"/>
      <c r="L59" s="126" t="s">
        <v>95</v>
      </c>
      <c r="M59" s="570">
        <v>0</v>
      </c>
      <c r="N59" s="156">
        <v>0</v>
      </c>
      <c r="O59" s="670"/>
      <c r="P59" s="672"/>
      <c r="Q59" s="674"/>
      <c r="R59" s="676"/>
      <c r="S59" s="668"/>
      <c r="T59" s="67"/>
      <c r="U59" s="67"/>
      <c r="V59" s="66"/>
      <c r="W59" s="67"/>
      <c r="X59" s="67"/>
      <c r="Y59" s="97"/>
    </row>
    <row r="60" spans="1:25" s="1" customFormat="1" ht="16.5" thickBot="1" x14ac:dyDescent="0.3">
      <c r="A60" s="8"/>
      <c r="B60" s="418" t="s">
        <v>202</v>
      </c>
      <c r="C60" s="403"/>
      <c r="D60" s="404"/>
      <c r="E60" s="404"/>
      <c r="F60" s="404"/>
      <c r="G60" s="43">
        <f>SUM(G61:G64)</f>
        <v>15486047.57</v>
      </c>
      <c r="H60" s="44">
        <f t="shared" si="10"/>
        <v>2.0209049277428535E-2</v>
      </c>
      <c r="I60" s="98"/>
      <c r="J60" s="99"/>
      <c r="K60" s="99"/>
      <c r="L60" s="45"/>
      <c r="M60" s="100"/>
      <c r="N60" s="149"/>
      <c r="O60" s="42"/>
      <c r="P60" s="620"/>
      <c r="Q60" s="50"/>
      <c r="R60" s="151"/>
      <c r="S60" s="52"/>
      <c r="T60" s="67"/>
      <c r="U60" s="67"/>
      <c r="V60" s="66"/>
      <c r="W60" s="67"/>
      <c r="X60" s="67"/>
      <c r="Y60" s="97"/>
    </row>
    <row r="61" spans="1:25" s="1" customFormat="1" ht="15.75" x14ac:dyDescent="0.25">
      <c r="A61" s="8"/>
      <c r="B61" s="173" t="s">
        <v>247</v>
      </c>
      <c r="C61" s="261"/>
      <c r="D61" s="262" t="s">
        <v>124</v>
      </c>
      <c r="E61" s="108" t="s">
        <v>89</v>
      </c>
      <c r="F61" s="108" t="s">
        <v>89</v>
      </c>
      <c r="G61" s="537">
        <v>14033220.07</v>
      </c>
      <c r="H61" s="258">
        <f t="shared" si="10"/>
        <v>1.8313132168405778E-2</v>
      </c>
      <c r="I61" s="536">
        <v>-1.6509999999999999E-3</v>
      </c>
      <c r="J61" s="264"/>
      <c r="K61" s="265"/>
      <c r="L61" s="628" t="s">
        <v>80</v>
      </c>
      <c r="M61" s="535">
        <v>99577963.319999993</v>
      </c>
      <c r="N61" s="534">
        <f>G61/M61</f>
        <v>0.14092696418085368</v>
      </c>
      <c r="O61" s="659" t="s">
        <v>125</v>
      </c>
      <c r="P61" s="662">
        <f>SUM(G61:G64)/G71</f>
        <v>2.0209049277428535E-2</v>
      </c>
      <c r="Q61" s="708">
        <v>0.05</v>
      </c>
      <c r="R61" s="655">
        <v>0.03</v>
      </c>
      <c r="S61" s="657" t="s">
        <v>205</v>
      </c>
      <c r="T61" s="67"/>
      <c r="U61" s="67"/>
      <c r="V61" s="66"/>
      <c r="W61" s="67"/>
      <c r="X61" s="67"/>
      <c r="Y61" s="97"/>
    </row>
    <row r="62" spans="1:25" s="1" customFormat="1" ht="15.75" x14ac:dyDescent="0.25">
      <c r="A62" s="8"/>
      <c r="B62" s="611" t="s">
        <v>249</v>
      </c>
      <c r="C62" s="261"/>
      <c r="D62" s="626" t="s">
        <v>248</v>
      </c>
      <c r="E62" s="120" t="s">
        <v>89</v>
      </c>
      <c r="F62" s="120" t="s">
        <v>89</v>
      </c>
      <c r="G62" s="589">
        <v>161180.28</v>
      </c>
      <c r="H62" s="130">
        <f t="shared" si="10"/>
        <v>2.1033773829933603E-4</v>
      </c>
      <c r="I62" s="539">
        <v>-0.28310000000000002</v>
      </c>
      <c r="J62" s="627"/>
      <c r="K62" s="270"/>
      <c r="L62" s="261" t="s">
        <v>80</v>
      </c>
      <c r="M62" s="629">
        <v>6427063.5300000003</v>
      </c>
      <c r="N62" s="128">
        <f>G62/M62</f>
        <v>2.5078370432725441E-2</v>
      </c>
      <c r="O62" s="660"/>
      <c r="P62" s="663"/>
      <c r="Q62" s="709"/>
      <c r="R62" s="665"/>
      <c r="S62" s="677"/>
      <c r="T62" s="67"/>
      <c r="U62" s="67"/>
      <c r="V62" s="66"/>
      <c r="W62" s="67"/>
      <c r="X62" s="67"/>
      <c r="Y62" s="97"/>
    </row>
    <row r="63" spans="1:25" s="1" customFormat="1" ht="15.75" x14ac:dyDescent="0.25">
      <c r="A63" s="8"/>
      <c r="B63" s="266" t="s">
        <v>126</v>
      </c>
      <c r="C63" s="267"/>
      <c r="D63" s="268" t="s">
        <v>127</v>
      </c>
      <c r="E63" s="209" t="s">
        <v>89</v>
      </c>
      <c r="F63" s="209" t="s">
        <v>89</v>
      </c>
      <c r="G63" s="538">
        <v>403302.3</v>
      </c>
      <c r="H63" s="82">
        <f t="shared" si="10"/>
        <v>5.2630317823570169E-4</v>
      </c>
      <c r="I63" s="530">
        <v>-1.2999999999999999E-3</v>
      </c>
      <c r="J63" s="269"/>
      <c r="K63" s="270"/>
      <c r="L63" s="271" t="s">
        <v>80</v>
      </c>
      <c r="M63" s="547">
        <v>204831368.47</v>
      </c>
      <c r="N63" s="128">
        <f>G63/M63</f>
        <v>1.9689479351355718E-3</v>
      </c>
      <c r="O63" s="660"/>
      <c r="P63" s="663"/>
      <c r="Q63" s="709"/>
      <c r="R63" s="665"/>
      <c r="S63" s="677"/>
      <c r="T63" s="67"/>
      <c r="U63" s="67"/>
      <c r="V63" s="66"/>
      <c r="W63" s="67"/>
      <c r="X63" s="67"/>
      <c r="Y63" s="97"/>
    </row>
    <row r="64" spans="1:25" s="1" customFormat="1" ht="16.5" thickBot="1" x14ac:dyDescent="0.3">
      <c r="A64" s="8"/>
      <c r="B64" s="272" t="s">
        <v>128</v>
      </c>
      <c r="C64" s="261"/>
      <c r="D64" s="273" t="s">
        <v>129</v>
      </c>
      <c r="E64" s="181" t="s">
        <v>89</v>
      </c>
      <c r="F64" s="181" t="s">
        <v>89</v>
      </c>
      <c r="G64" s="560">
        <v>888344.92</v>
      </c>
      <c r="H64" s="95">
        <f t="shared" si="10"/>
        <v>1.1592761924877201E-3</v>
      </c>
      <c r="I64" s="561">
        <v>6.0000000000000001E-3</v>
      </c>
      <c r="J64" s="274"/>
      <c r="K64" s="275"/>
      <c r="L64" s="276" t="s">
        <v>80</v>
      </c>
      <c r="M64" s="547">
        <v>221807385.30000001</v>
      </c>
      <c r="N64" s="199">
        <f>G64/M64</f>
        <v>4.0050285918049634E-3</v>
      </c>
      <c r="O64" s="661"/>
      <c r="P64" s="664"/>
      <c r="Q64" s="710"/>
      <c r="R64" s="656"/>
      <c r="S64" s="658"/>
      <c r="T64" s="67"/>
      <c r="U64" s="67"/>
      <c r="V64" s="66"/>
      <c r="W64" s="67"/>
      <c r="X64" s="67"/>
      <c r="Y64" s="97"/>
    </row>
    <row r="65" spans="1:25" s="54" customFormat="1" ht="16.5" thickBot="1" x14ac:dyDescent="0.25">
      <c r="A65" s="40"/>
      <c r="B65" s="418" t="s">
        <v>203</v>
      </c>
      <c r="C65" s="403"/>
      <c r="D65" s="404"/>
      <c r="E65" s="404"/>
      <c r="F65" s="404"/>
      <c r="G65" s="43">
        <f>SUM(G66:G67)</f>
        <v>13786725.529999999</v>
      </c>
      <c r="H65" s="44">
        <f t="shared" si="10"/>
        <v>1.799146065842493E-2</v>
      </c>
      <c r="I65" s="98"/>
      <c r="J65" s="99"/>
      <c r="K65" s="45"/>
      <c r="L65" s="45"/>
      <c r="M65" s="148"/>
      <c r="N65" s="149"/>
      <c r="O65" s="42"/>
      <c r="P65" s="620"/>
      <c r="Q65" s="253"/>
      <c r="R65" s="254"/>
      <c r="S65" s="255"/>
      <c r="T65" s="53"/>
      <c r="U65" s="53"/>
      <c r="V65" s="53"/>
      <c r="W65" s="53"/>
      <c r="X65" s="53"/>
      <c r="Y65" s="53"/>
    </row>
    <row r="66" spans="1:25" s="54" customFormat="1" ht="16.5" customHeight="1" x14ac:dyDescent="0.25">
      <c r="A66" s="256">
        <v>41</v>
      </c>
      <c r="B66" s="104" t="s">
        <v>164</v>
      </c>
      <c r="C66" s="105"/>
      <c r="D66" s="153" t="s">
        <v>165</v>
      </c>
      <c r="E66" s="108" t="s">
        <v>89</v>
      </c>
      <c r="F66" s="108" t="s">
        <v>89</v>
      </c>
      <c r="G66" s="537">
        <v>4999900</v>
      </c>
      <c r="H66" s="258">
        <f t="shared" si="10"/>
        <v>6.5247911079621542E-3</v>
      </c>
      <c r="I66" s="564">
        <v>3.09E-2</v>
      </c>
      <c r="J66" s="259"/>
      <c r="K66" s="113"/>
      <c r="L66" s="114" t="s">
        <v>71</v>
      </c>
      <c r="M66" s="591">
        <v>234883607.43000001</v>
      </c>
      <c r="N66" s="156">
        <f t="shared" ref="N66" si="11">G66/M66</f>
        <v>2.1286713256437318E-2</v>
      </c>
      <c r="O66" s="698" t="s">
        <v>207</v>
      </c>
      <c r="P66" s="662">
        <f>SUM(G66:G67)/G71</f>
        <v>1.799146065842493E-2</v>
      </c>
      <c r="Q66" s="655">
        <v>0.05</v>
      </c>
      <c r="R66" s="655">
        <v>0.03</v>
      </c>
      <c r="S66" s="657" t="s">
        <v>206</v>
      </c>
      <c r="T66" s="53"/>
      <c r="U66" s="53"/>
      <c r="V66" s="53"/>
      <c r="W66" s="53"/>
      <c r="X66" s="53"/>
      <c r="Y66" s="53"/>
    </row>
    <row r="67" spans="1:25" s="1" customFormat="1" ht="16.5" thickBot="1" x14ac:dyDescent="0.3">
      <c r="A67" s="8">
        <v>42</v>
      </c>
      <c r="B67" s="192" t="s">
        <v>121</v>
      </c>
      <c r="C67" s="118"/>
      <c r="D67" s="92" t="s">
        <v>122</v>
      </c>
      <c r="E67" s="193" t="s">
        <v>89</v>
      </c>
      <c r="F67" s="193" t="s">
        <v>89</v>
      </c>
      <c r="G67" s="560">
        <v>8786825.5299999993</v>
      </c>
      <c r="H67" s="260">
        <f t="shared" si="10"/>
        <v>1.1466669550462777E-2</v>
      </c>
      <c r="I67" s="561">
        <v>-1.2999999999999999E-2</v>
      </c>
      <c r="J67" s="161"/>
      <c r="K67" s="243"/>
      <c r="L67" s="184" t="s">
        <v>71</v>
      </c>
      <c r="M67" s="578">
        <v>139961308.88999999</v>
      </c>
      <c r="N67" s="524">
        <f>G67/M67</f>
        <v>6.2780389806913306E-2</v>
      </c>
      <c r="O67" s="700"/>
      <c r="P67" s="664"/>
      <c r="Q67" s="656"/>
      <c r="R67" s="656"/>
      <c r="S67" s="658"/>
      <c r="T67" s="67"/>
      <c r="U67" s="67"/>
      <c r="V67" s="66"/>
      <c r="W67" s="67"/>
      <c r="X67" s="66"/>
      <c r="Y67" s="68"/>
    </row>
    <row r="68" spans="1:25" s="1" customFormat="1" ht="12" customHeight="1" thickBot="1" x14ac:dyDescent="0.3">
      <c r="A68" s="217"/>
      <c r="B68" s="218" t="s">
        <v>130</v>
      </c>
      <c r="C68" s="41"/>
      <c r="D68" s="42"/>
      <c r="E68" s="277"/>
      <c r="F68" s="277"/>
      <c r="G68" s="278">
        <f>SUM(G69:G70)</f>
        <v>3894.98</v>
      </c>
      <c r="H68" s="279">
        <f t="shared" si="10"/>
        <v>5.08288783169472E-6</v>
      </c>
      <c r="I68" s="280"/>
      <c r="J68" s="281"/>
      <c r="K68" s="281"/>
      <c r="L68" s="281"/>
      <c r="M68" s="282"/>
      <c r="N68" s="149"/>
      <c r="O68" s="283"/>
      <c r="P68" s="284">
        <f>SUM((G44+G47+G49+G57+G65)/G71)*100</f>
        <v>18.033252991416362</v>
      </c>
      <c r="Q68" s="285"/>
      <c r="R68" s="286">
        <f>SUM(P44+P68+P69+P70)/100</f>
        <v>0.97978591866361808</v>
      </c>
      <c r="S68" s="52"/>
      <c r="T68" s="261"/>
      <c r="U68" s="261"/>
      <c r="V68" s="261"/>
      <c r="W68" s="261"/>
      <c r="X68" s="261"/>
    </row>
    <row r="69" spans="1:25" s="1" customFormat="1" ht="15.75" x14ac:dyDescent="0.25">
      <c r="A69" s="217">
        <v>46</v>
      </c>
      <c r="B69" s="287" t="s">
        <v>131</v>
      </c>
      <c r="C69" s="288"/>
      <c r="D69" s="289"/>
      <c r="E69" s="290"/>
      <c r="F69" s="291"/>
      <c r="G69" s="292">
        <v>1884.73</v>
      </c>
      <c r="H69" s="233">
        <f t="shared" si="10"/>
        <v>2.459543099843899E-6</v>
      </c>
      <c r="I69" s="165">
        <v>0</v>
      </c>
      <c r="J69" s="293"/>
      <c r="K69" s="294"/>
      <c r="L69" s="295"/>
      <c r="M69" s="296"/>
      <c r="N69" s="297"/>
      <c r="O69" s="704" t="s">
        <v>132</v>
      </c>
      <c r="P69" s="706">
        <f>(G69+G70)/G71</f>
        <v>5.08288783169472E-6</v>
      </c>
      <c r="Q69" s="298"/>
      <c r="R69" s="299"/>
      <c r="S69" s="291"/>
      <c r="T69" s="261"/>
      <c r="U69" s="261"/>
      <c r="V69" s="261"/>
      <c r="W69" s="261"/>
      <c r="X69" s="261"/>
    </row>
    <row r="70" spans="1:25" s="261" customFormat="1" ht="15.75" x14ac:dyDescent="0.25">
      <c r="A70" s="8">
        <v>47</v>
      </c>
      <c r="B70" s="300" t="s">
        <v>133</v>
      </c>
      <c r="C70" s="301"/>
      <c r="D70" s="302"/>
      <c r="E70" s="303"/>
      <c r="F70" s="301"/>
      <c r="G70" s="59">
        <v>2010.25</v>
      </c>
      <c r="H70" s="304">
        <v>9.5999999999999992E-3</v>
      </c>
      <c r="I70" s="74">
        <v>0</v>
      </c>
      <c r="J70" s="305"/>
      <c r="K70" s="306"/>
      <c r="L70" s="307"/>
      <c r="M70" s="308"/>
      <c r="N70" s="309"/>
      <c r="O70" s="705"/>
      <c r="P70" s="707"/>
      <c r="Q70" s="310"/>
      <c r="R70" s="311"/>
      <c r="S70" s="303"/>
      <c r="T70" s="312"/>
      <c r="V70" s="313"/>
      <c r="Y70" s="1"/>
    </row>
    <row r="71" spans="1:25" s="261" customFormat="1" ht="16.5" thickBot="1" x14ac:dyDescent="0.3">
      <c r="A71" s="8"/>
      <c r="B71" s="314" t="s">
        <v>134</v>
      </c>
      <c r="C71" s="315"/>
      <c r="D71" s="316"/>
      <c r="E71" s="317"/>
      <c r="F71" s="317"/>
      <c r="G71" s="318">
        <f>G4+G11+G21+G27+G38+G44+G47+G49+G57+G60+G65+G68</f>
        <v>766292731.41000009</v>
      </c>
      <c r="H71" s="319">
        <f>G71/$G$71</f>
        <v>1</v>
      </c>
      <c r="I71" s="320"/>
      <c r="J71" s="321"/>
      <c r="K71" s="322"/>
      <c r="L71" s="323"/>
      <c r="M71" s="324"/>
      <c r="N71" s="325"/>
      <c r="O71" s="326"/>
      <c r="P71" s="327" t="e">
        <f>P5+P12+P19+P20+P26+#REF!+P34+P35+P36+P37+P39+P42+P43+P45+P48+P50+P56+P58+P61+P66+P69</f>
        <v>#REF!</v>
      </c>
      <c r="Q71" s="328"/>
      <c r="R71" s="329"/>
      <c r="S71" s="330"/>
      <c r="T71" s="312"/>
      <c r="V71" s="313"/>
      <c r="Y71" s="1"/>
    </row>
    <row r="72" spans="1:25" s="261" customFormat="1" x14ac:dyDescent="0.25">
      <c r="A72" s="1"/>
      <c r="B72" s="331" t="s">
        <v>255</v>
      </c>
      <c r="C72" s="331"/>
      <c r="D72" s="332"/>
      <c r="E72" s="332">
        <v>1.9199999999999998E-2</v>
      </c>
      <c r="F72" s="332"/>
      <c r="G72" s="331" t="s">
        <v>135</v>
      </c>
      <c r="H72" s="333">
        <v>-5.1999999999999998E-2</v>
      </c>
      <c r="I72" s="334"/>
      <c r="J72" s="331" t="s">
        <v>136</v>
      </c>
      <c r="K72" s="333">
        <v>-4.0099999999999997E-2</v>
      </c>
      <c r="L72" s="334"/>
      <c r="M72" s="335" t="s">
        <v>137</v>
      </c>
      <c r="N72" s="333">
        <v>4.4200000000000001E-4</v>
      </c>
      <c r="O72" s="1"/>
      <c r="P72" s="333" t="s">
        <v>138</v>
      </c>
      <c r="Q72" s="1"/>
      <c r="R72" s="333"/>
      <c r="S72" s="336">
        <v>2.1499999999999998E-2</v>
      </c>
      <c r="Y72" s="1"/>
    </row>
    <row r="73" spans="1:25" s="261" customFormat="1" x14ac:dyDescent="0.25">
      <c r="A73" s="1"/>
      <c r="B73" s="331" t="s">
        <v>139</v>
      </c>
      <c r="C73" s="337"/>
      <c r="D73" s="331"/>
      <c r="E73" s="615">
        <v>-2.8999999999999998E-3</v>
      </c>
      <c r="F73" s="333"/>
      <c r="G73" s="331" t="s">
        <v>140</v>
      </c>
      <c r="H73" s="333">
        <v>-5.1999999999999998E-2</v>
      </c>
      <c r="I73" s="331"/>
      <c r="J73" s="331" t="s">
        <v>141</v>
      </c>
      <c r="K73" s="333">
        <v>-3.2009999999999999E-3</v>
      </c>
      <c r="L73" s="333"/>
      <c r="M73" s="335" t="s">
        <v>142</v>
      </c>
      <c r="N73" s="333">
        <v>5.45E-3</v>
      </c>
      <c r="O73" s="1"/>
      <c r="P73" s="339" t="s">
        <v>143</v>
      </c>
      <c r="Q73" s="1"/>
      <c r="R73" s="1"/>
      <c r="S73" s="336">
        <v>5.5500000000000001E-2</v>
      </c>
      <c r="Y73" s="1"/>
    </row>
    <row r="74" spans="1:25" s="261" customFormat="1" x14ac:dyDescent="0.25">
      <c r="A74" s="1"/>
      <c r="B74" s="331" t="s">
        <v>144</v>
      </c>
      <c r="C74" s="1"/>
      <c r="D74" s="333"/>
      <c r="E74" s="333">
        <v>1.43E-2</v>
      </c>
      <c r="F74" s="333"/>
      <c r="G74" s="331" t="s">
        <v>145</v>
      </c>
      <c r="H74" s="333">
        <v>-5.2999999999999999E-2</v>
      </c>
      <c r="I74" s="331"/>
      <c r="J74" s="331" t="s">
        <v>146</v>
      </c>
      <c r="K74" s="333">
        <v>1.199E-3</v>
      </c>
      <c r="L74" s="333"/>
      <c r="M74" s="335" t="s">
        <v>147</v>
      </c>
      <c r="N74" s="333">
        <v>-1.4630000000000001E-3</v>
      </c>
      <c r="O74" s="333"/>
      <c r="P74" s="339" t="s">
        <v>148</v>
      </c>
      <c r="Q74" s="1"/>
      <c r="R74" s="1"/>
      <c r="S74" s="336">
        <v>0.1195</v>
      </c>
      <c r="T74" s="340"/>
      <c r="Y74" s="1"/>
    </row>
    <row r="75" spans="1:25" s="261" customFormat="1" x14ac:dyDescent="0.25">
      <c r="A75" s="1"/>
      <c r="B75" s="331" t="s">
        <v>118</v>
      </c>
      <c r="C75" s="333"/>
      <c r="D75" s="333"/>
      <c r="E75" s="341">
        <v>5.1999999999999998E-3</v>
      </c>
      <c r="F75" s="341"/>
      <c r="G75" s="331" t="s">
        <v>149</v>
      </c>
      <c r="H75" s="333">
        <v>-3.6600000000000001E-2</v>
      </c>
      <c r="I75" s="331"/>
      <c r="J75" s="331" t="s">
        <v>150</v>
      </c>
      <c r="K75" s="333">
        <v>4.4970000000000001E-3</v>
      </c>
      <c r="L75" s="333"/>
      <c r="M75" s="335" t="s">
        <v>151</v>
      </c>
      <c r="N75" s="333">
        <v>6.8910000000000004E-3</v>
      </c>
      <c r="O75" s="333"/>
      <c r="P75" s="339" t="s">
        <v>152</v>
      </c>
      <c r="Q75" s="1"/>
      <c r="R75" s="1"/>
      <c r="S75" s="336">
        <v>9.69E-2</v>
      </c>
      <c r="Y75" s="1"/>
    </row>
    <row r="76" spans="1:25" s="261" customFormat="1" x14ac:dyDescent="0.25">
      <c r="A76" s="1"/>
      <c r="B76" s="331" t="s">
        <v>80</v>
      </c>
      <c r="C76" s="1"/>
      <c r="D76" s="333"/>
      <c r="E76" s="341">
        <v>1.26E-2</v>
      </c>
      <c r="F76" s="341"/>
      <c r="G76" s="331" t="s">
        <v>112</v>
      </c>
      <c r="H76" s="333">
        <v>-4.3299999999999998E-2</v>
      </c>
      <c r="I76" s="1"/>
      <c r="J76" s="331" t="s">
        <v>153</v>
      </c>
      <c r="K76" s="333">
        <v>-1.0784999999999999E-2</v>
      </c>
      <c r="L76" s="1"/>
      <c r="M76" s="335" t="s">
        <v>154</v>
      </c>
      <c r="N76" s="333">
        <v>5.208E-3</v>
      </c>
      <c r="O76" s="333"/>
      <c r="P76" s="339"/>
      <c r="Q76" s="1"/>
      <c r="R76" s="1"/>
      <c r="S76" s="342">
        <f>'[1]FFPREV Junho 2018'!$G$51</f>
        <v>257594550.72</v>
      </c>
      <c r="T76" s="343"/>
      <c r="Y76" s="1"/>
    </row>
    <row r="77" spans="1:25" s="261" customFormat="1" x14ac:dyDescent="0.25">
      <c r="A77" s="1"/>
      <c r="B77" s="1"/>
      <c r="C77" s="1"/>
      <c r="D77" s="1"/>
      <c r="E77" s="1"/>
      <c r="F77" s="1"/>
      <c r="G77" s="331"/>
      <c r="H77" s="333" t="s">
        <v>155</v>
      </c>
      <c r="I77" s="1"/>
      <c r="J77" s="331"/>
      <c r="K77" s="333"/>
      <c r="L77" s="1"/>
      <c r="M77" s="335"/>
      <c r="N77" s="344"/>
      <c r="O77" s="333"/>
      <c r="P77" s="1"/>
      <c r="Q77" s="1"/>
      <c r="R77" s="1"/>
      <c r="S77" s="345">
        <f>G71</f>
        <v>766292731.41000009</v>
      </c>
      <c r="Y77" s="1"/>
    </row>
    <row r="78" spans="1:25" s="1" customFormat="1" x14ac:dyDescent="0.25">
      <c r="D78" t="s">
        <v>156</v>
      </c>
      <c r="G78" s="346">
        <f>S78</f>
        <v>1023887282.1300001</v>
      </c>
      <c r="H78" s="333"/>
      <c r="J78" s="331"/>
      <c r="K78" s="333"/>
      <c r="M78" s="347"/>
      <c r="N78" s="344"/>
      <c r="O78" s="333"/>
      <c r="S78" s="348">
        <f>S76+S77</f>
        <v>1023887282.1300001</v>
      </c>
      <c r="T78" s="261"/>
      <c r="U78" s="261"/>
      <c r="V78" s="261"/>
      <c r="W78" s="261"/>
      <c r="X78" s="261"/>
    </row>
    <row r="79" spans="1:25" s="7" customFormat="1" x14ac:dyDescent="0.25">
      <c r="A79"/>
      <c r="B79"/>
      <c r="C79"/>
      <c r="D79"/>
      <c r="E79"/>
      <c r="F79"/>
      <c r="G79" s="598"/>
      <c r="H79" s="333"/>
      <c r="I79" s="1"/>
      <c r="J79" s="331"/>
      <c r="K79" s="333"/>
      <c r="L79" s="1"/>
      <c r="M79" s="347"/>
      <c r="N79" s="353"/>
      <c r="O79"/>
      <c r="P79"/>
      <c r="Q79"/>
      <c r="R79"/>
      <c r="S79" s="348"/>
      <c r="Y79"/>
    </row>
    <row r="80" spans="1:25" s="7" customFormat="1" x14ac:dyDescent="0.25">
      <c r="A80"/>
      <c r="B80" s="331"/>
      <c r="C80" s="331"/>
      <c r="D80" s="331"/>
      <c r="E80" s="332"/>
      <c r="F80" s="332"/>
      <c r="G80" s="599"/>
      <c r="H80" s="344"/>
      <c r="I80" s="1"/>
      <c r="J80" s="1"/>
      <c r="K80" s="1"/>
      <c r="L80" s="1"/>
      <c r="M80" s="347"/>
      <c r="N80" s="353"/>
      <c r="O80"/>
      <c r="P80"/>
      <c r="Q80"/>
      <c r="R80"/>
      <c r="S80"/>
      <c r="Y80"/>
    </row>
    <row r="81" spans="1:25" s="7" customFormat="1" x14ac:dyDescent="0.25">
      <c r="A81"/>
      <c r="B81" s="331"/>
      <c r="C81" s="331"/>
      <c r="D81" s="331"/>
      <c r="E81" s="333"/>
      <c r="F81" s="333"/>
      <c r="G81" s="354"/>
      <c r="H81" s="344"/>
      <c r="I81" s="1"/>
      <c r="J81" s="1"/>
      <c r="K81" s="1"/>
      <c r="L81" s="1"/>
      <c r="M81" s="347"/>
      <c r="N81" s="353"/>
      <c r="O81"/>
      <c r="P81"/>
      <c r="Q81"/>
      <c r="R81"/>
      <c r="S81"/>
      <c r="Y81"/>
    </row>
    <row r="82" spans="1:25" s="7" customFormat="1" x14ac:dyDescent="0.25">
      <c r="A82"/>
      <c r="B82" s="331"/>
      <c r="C82" s="1"/>
      <c r="D82" s="333"/>
      <c r="E82" s="333"/>
      <c r="F82" s="333"/>
      <c r="G82" s="349"/>
      <c r="H82" s="344"/>
      <c r="I82" s="1"/>
      <c r="J82" s="1"/>
      <c r="K82" s="1"/>
      <c r="L82" s="1"/>
      <c r="M82" s="347"/>
      <c r="N82" s="353"/>
      <c r="O82"/>
      <c r="P82"/>
      <c r="Q82"/>
      <c r="R82"/>
      <c r="S82"/>
      <c r="Y82"/>
    </row>
    <row r="83" spans="1:25" s="7" customFormat="1" x14ac:dyDescent="0.25">
      <c r="A83"/>
      <c r="B83" s="331"/>
      <c r="C83" s="333"/>
      <c r="D83" s="333"/>
      <c r="E83" s="339"/>
      <c r="F83" s="339"/>
      <c r="G83" s="349"/>
      <c r="H83" s="344"/>
      <c r="I83" s="1"/>
      <c r="J83" s="1"/>
      <c r="K83" s="1"/>
      <c r="L83" s="1"/>
      <c r="M83" s="347" t="s">
        <v>157</v>
      </c>
      <c r="N83" s="353"/>
      <c r="O83"/>
      <c r="P83"/>
      <c r="Q83"/>
      <c r="R83"/>
      <c r="S83"/>
      <c r="Y83"/>
    </row>
    <row r="84" spans="1:25" s="7" customFormat="1" x14ac:dyDescent="0.25">
      <c r="A84"/>
      <c r="B84" s="331" t="s">
        <v>60</v>
      </c>
      <c r="C84" s="1"/>
      <c r="D84" s="333" t="s">
        <v>158</v>
      </c>
      <c r="E84" s="355">
        <v>8.0000000000000004E-4</v>
      </c>
      <c r="F84" s="1"/>
      <c r="G84" s="349">
        <f>G4+G11+G19+G20+G21+G26+G27+G34+G35+G36+G37+G38+G42+G43</f>
        <v>612615281.95000005</v>
      </c>
      <c r="H84" s="344">
        <f>G84/G87</f>
        <v>0.79945333792057605</v>
      </c>
      <c r="I84" s="1"/>
      <c r="J84" s="1" t="s">
        <v>60</v>
      </c>
      <c r="K84" s="1"/>
      <c r="L84" s="1"/>
      <c r="M84" s="586">
        <f>'[3]Consolidado fevereiro 2018'!$G$112</f>
        <v>838658112.35000002</v>
      </c>
      <c r="N84" s="353">
        <f>M84/M87</f>
        <v>0.81890513514275298</v>
      </c>
      <c r="O84"/>
      <c r="P84"/>
      <c r="Q84"/>
      <c r="R84"/>
      <c r="S84"/>
      <c r="Y84"/>
    </row>
    <row r="85" spans="1:25" s="7" customFormat="1" x14ac:dyDescent="0.25">
      <c r="A85"/>
      <c r="B85" t="s">
        <v>96</v>
      </c>
      <c r="C85"/>
      <c r="D85" s="333" t="s">
        <v>158</v>
      </c>
      <c r="E85" s="616">
        <v>-1.72E-2</v>
      </c>
      <c r="F85"/>
      <c r="G85" s="349">
        <f>G44+G47+G49+G56+G57+G60+G65</f>
        <v>153673554.47999999</v>
      </c>
      <c r="H85" s="344">
        <f>G85/G87</f>
        <v>0.20054157919159216</v>
      </c>
      <c r="I85" s="1"/>
      <c r="J85" s="1" t="s">
        <v>96</v>
      </c>
      <c r="K85" s="1"/>
      <c r="L85" s="1"/>
      <c r="M85" s="586">
        <f>'[3]Consolidado fevereiro 2018'!$G$105</f>
        <v>184803995.55999997</v>
      </c>
      <c r="N85" s="353">
        <f>M85/M87</f>
        <v>0.18045129323905537</v>
      </c>
      <c r="O85"/>
      <c r="P85"/>
      <c r="Q85"/>
      <c r="R85"/>
      <c r="S85"/>
      <c r="Y85"/>
    </row>
    <row r="86" spans="1:25" s="7" customFormat="1" x14ac:dyDescent="0.25">
      <c r="A86"/>
      <c r="B86" t="s">
        <v>159</v>
      </c>
      <c r="C86"/>
      <c r="D86"/>
      <c r="E86" s="617"/>
      <c r="F86"/>
      <c r="G86" s="349">
        <f>G68</f>
        <v>3894.98</v>
      </c>
      <c r="H86" s="344">
        <f>G86/G87</f>
        <v>5.08288783169472E-6</v>
      </c>
      <c r="I86" s="1"/>
      <c r="J86" s="1" t="s">
        <v>160</v>
      </c>
      <c r="K86" s="1"/>
      <c r="L86" s="1"/>
      <c r="M86" s="586">
        <f>'[3]Consolidado fevereiro 2018'!$M$106</f>
        <v>659095.34000000008</v>
      </c>
      <c r="N86" s="353">
        <f>M86/M87</f>
        <v>6.4357161819166746E-4</v>
      </c>
      <c r="O86"/>
      <c r="P86"/>
      <c r="Q86"/>
      <c r="R86"/>
      <c r="S86"/>
      <c r="Y86"/>
    </row>
    <row r="87" spans="1:25" s="7" customFormat="1" x14ac:dyDescent="0.25">
      <c r="A87"/>
      <c r="B87"/>
      <c r="C87"/>
      <c r="D87"/>
      <c r="E87" s="616">
        <v>-2.8999999999999998E-3</v>
      </c>
      <c r="F87"/>
      <c r="G87" s="349">
        <f>G84+G85+G86</f>
        <v>766292731.41000009</v>
      </c>
      <c r="H87" s="344">
        <f>SUM(H84:H86)</f>
        <v>1</v>
      </c>
      <c r="I87" s="1"/>
      <c r="J87" s="261" t="s">
        <v>161</v>
      </c>
      <c r="K87" s="261"/>
      <c r="L87" s="261"/>
      <c r="M87" s="586">
        <f>M84+M85+M86</f>
        <v>1024121203.25</v>
      </c>
      <c r="N87" s="353">
        <f>N84+N85+N86</f>
        <v>1</v>
      </c>
      <c r="O87"/>
      <c r="P87"/>
      <c r="Q87"/>
      <c r="R87"/>
      <c r="S87"/>
      <c r="Y87"/>
    </row>
    <row r="88" spans="1:25" s="7" customFormat="1" x14ac:dyDescent="0.25">
      <c r="A88"/>
      <c r="B88"/>
      <c r="C88"/>
      <c r="D88"/>
      <c r="E88" s="358"/>
      <c r="F88"/>
      <c r="G88" s="1"/>
      <c r="H88" s="344"/>
      <c r="I88" s="1"/>
      <c r="J88" s="1"/>
      <c r="K88" s="1"/>
      <c r="L88" s="1"/>
      <c r="M88" s="347"/>
      <c r="N88" s="353"/>
      <c r="O88"/>
      <c r="P88"/>
      <c r="Q88"/>
      <c r="R88"/>
      <c r="S88"/>
      <c r="Y88"/>
    </row>
    <row r="89" spans="1:25" s="7" customFormat="1" x14ac:dyDescent="0.25">
      <c r="A89"/>
      <c r="B89"/>
      <c r="C89"/>
      <c r="D89"/>
      <c r="E89"/>
      <c r="F89"/>
      <c r="G89" s="1"/>
      <c r="H89" s="344"/>
      <c r="I89" s="1"/>
      <c r="J89" s="1"/>
      <c r="K89" s="1"/>
      <c r="L89" s="1"/>
      <c r="M89" s="347"/>
      <c r="N89" s="353"/>
      <c r="O89"/>
      <c r="P89"/>
      <c r="Q89"/>
      <c r="R89"/>
      <c r="S89"/>
      <c r="Y89"/>
    </row>
    <row r="90" spans="1:25" s="7" customFormat="1" x14ac:dyDescent="0.25">
      <c r="A90"/>
      <c r="B90"/>
      <c r="C90"/>
      <c r="D90"/>
      <c r="E90"/>
      <c r="F90"/>
      <c r="G90" s="1"/>
      <c r="H90" s="344"/>
      <c r="I90" s="1"/>
      <c r="J90" s="1"/>
      <c r="K90" s="1"/>
      <c r="L90" s="1"/>
      <c r="M90" s="347"/>
      <c r="N90" s="353"/>
      <c r="O90"/>
      <c r="P90"/>
      <c r="Q90"/>
      <c r="R90"/>
      <c r="S90"/>
      <c r="Y90"/>
    </row>
  </sheetData>
  <mergeCells count="53">
    <mergeCell ref="R66:R67"/>
    <mergeCell ref="S66:S67"/>
    <mergeCell ref="O69:O70"/>
    <mergeCell ref="P69:P70"/>
    <mergeCell ref="O58:O59"/>
    <mergeCell ref="P58:P59"/>
    <mergeCell ref="Q58:Q59"/>
    <mergeCell ref="O66:O67"/>
    <mergeCell ref="P66:P67"/>
    <mergeCell ref="Q66:Q67"/>
    <mergeCell ref="R58:R59"/>
    <mergeCell ref="S58:S59"/>
    <mergeCell ref="O61:O64"/>
    <mergeCell ref="P61:P64"/>
    <mergeCell ref="Q61:Q64"/>
    <mergeCell ref="R61:R64"/>
    <mergeCell ref="S61:S64"/>
    <mergeCell ref="O45:O46"/>
    <mergeCell ref="P45:P46"/>
    <mergeCell ref="Q45:Q46"/>
    <mergeCell ref="R45:R46"/>
    <mergeCell ref="S45:S46"/>
    <mergeCell ref="O50:O55"/>
    <mergeCell ref="P50:P55"/>
    <mergeCell ref="Q50:Q55"/>
    <mergeCell ref="R50:R55"/>
    <mergeCell ref="S50:S55"/>
    <mergeCell ref="O28:O33"/>
    <mergeCell ref="P28:P33"/>
    <mergeCell ref="Q28:Q33"/>
    <mergeCell ref="R28:R33"/>
    <mergeCell ref="S28:S33"/>
    <mergeCell ref="O39:O41"/>
    <mergeCell ref="P39:P41"/>
    <mergeCell ref="Q39:Q41"/>
    <mergeCell ref="R39:R41"/>
    <mergeCell ref="S39:S41"/>
    <mergeCell ref="O12:O18"/>
    <mergeCell ref="P12:P18"/>
    <mergeCell ref="Q12:Q18"/>
    <mergeCell ref="R12:R18"/>
    <mergeCell ref="S12:S18"/>
    <mergeCell ref="O22:O25"/>
    <mergeCell ref="P22:P25"/>
    <mergeCell ref="Q22:Q25"/>
    <mergeCell ref="R22:R25"/>
    <mergeCell ref="S22:S25"/>
    <mergeCell ref="S5:S10"/>
    <mergeCell ref="P3:R3"/>
    <mergeCell ref="O5:O10"/>
    <mergeCell ref="P5:P10"/>
    <mergeCell ref="Q5:Q10"/>
    <mergeCell ref="R5:R10"/>
  </mergeCells>
  <printOptions horizontalCentered="1"/>
  <pageMargins left="0" right="0" top="0" bottom="0" header="0.19685039370078741" footer="0.39370078740157483"/>
  <pageSetup paperSize="9" scale="41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1"/>
  <sheetViews>
    <sheetView tabSelected="1" topLeftCell="A64" zoomScaleNormal="100" zoomScaleSheetLayoutView="86" workbookViewId="0">
      <selection activeCell="S77" sqref="S77"/>
    </sheetView>
  </sheetViews>
  <sheetFormatPr defaultRowHeight="15" x14ac:dyDescent="0.25"/>
  <cols>
    <col min="1" max="1" width="1.570312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3.42578125" style="1" bestFit="1" customWidth="1"/>
    <col min="8" max="8" width="11.5703125" style="344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4" style="347" bestFit="1" customWidth="1"/>
    <col min="14" max="14" width="8.140625" style="353" bestFit="1" customWidth="1"/>
    <col min="15" max="15" width="13.5703125" customWidth="1"/>
    <col min="16" max="16" width="6.85546875" customWidth="1"/>
    <col min="17" max="17" width="5.5703125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256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685" t="s">
        <v>18</v>
      </c>
      <c r="Q3" s="686"/>
      <c r="R3" s="687"/>
      <c r="S3" s="38" t="s">
        <v>19</v>
      </c>
      <c r="T3" s="39"/>
      <c r="U3" s="39"/>
      <c r="V3" s="39"/>
      <c r="W3" s="39"/>
      <c r="X3" s="39"/>
      <c r="Y3" s="39"/>
    </row>
    <row r="4" spans="1:25" s="54" customFormat="1" ht="12" customHeight="1" thickBot="1" x14ac:dyDescent="0.25">
      <c r="A4" s="40"/>
      <c r="B4" s="402" t="s">
        <v>166</v>
      </c>
      <c r="C4" s="403"/>
      <c r="D4" s="404"/>
      <c r="E4" s="404"/>
      <c r="F4" s="404"/>
      <c r="G4" s="43">
        <f>SUM(G5:G11)</f>
        <v>163411409.05999997</v>
      </c>
      <c r="H4" s="44">
        <f t="shared" ref="H4:H20" si="0">G4/$G$72</f>
        <v>0.2083414052336279</v>
      </c>
      <c r="I4" s="45"/>
      <c r="J4" s="45"/>
      <c r="K4" s="45"/>
      <c r="L4" s="45"/>
      <c r="M4" s="46"/>
      <c r="N4" s="47"/>
      <c r="O4" s="48"/>
      <c r="P4" s="49"/>
      <c r="Q4" s="50"/>
      <c r="R4" s="633"/>
      <c r="S4" s="52"/>
      <c r="T4" s="53"/>
      <c r="U4" s="53"/>
      <c r="V4" s="53"/>
      <c r="W4" s="53"/>
      <c r="X4" s="53"/>
      <c r="Y4" s="53"/>
    </row>
    <row r="5" spans="1:25" s="1" customFormat="1" ht="16.5" customHeight="1" x14ac:dyDescent="0.25">
      <c r="A5" s="8"/>
      <c r="B5" s="55" t="s">
        <v>21</v>
      </c>
      <c r="C5" s="56" t="s">
        <v>22</v>
      </c>
      <c r="D5" s="57" t="s">
        <v>23</v>
      </c>
      <c r="E5" s="58"/>
      <c r="F5" s="58"/>
      <c r="G5" s="538">
        <v>25877016</v>
      </c>
      <c r="H5" s="60">
        <f t="shared" si="0"/>
        <v>3.2991906181492871E-2</v>
      </c>
      <c r="I5" s="562">
        <v>6.7999999999999996E-3</v>
      </c>
      <c r="J5" s="62" t="s">
        <v>24</v>
      </c>
      <c r="K5" s="62"/>
      <c r="L5" s="63"/>
      <c r="M5" s="64">
        <v>0</v>
      </c>
      <c r="N5" s="65"/>
      <c r="O5" s="688" t="s">
        <v>20</v>
      </c>
      <c r="P5" s="691">
        <f>SUM(G5:G11)/G72</f>
        <v>0.2083414052336279</v>
      </c>
      <c r="Q5" s="694">
        <v>1</v>
      </c>
      <c r="R5" s="675">
        <v>0.4</v>
      </c>
      <c r="S5" s="682" t="s">
        <v>175</v>
      </c>
      <c r="T5" s="66"/>
      <c r="U5" s="67"/>
      <c r="V5" s="66"/>
      <c r="W5" s="66"/>
      <c r="X5" s="66"/>
      <c r="Y5" s="68"/>
    </row>
    <row r="6" spans="1:25" s="1" customFormat="1" ht="16.5" thickBot="1" x14ac:dyDescent="0.3">
      <c r="A6" s="8"/>
      <c r="B6" s="69" t="s">
        <v>21</v>
      </c>
      <c r="C6" s="70" t="s">
        <v>22</v>
      </c>
      <c r="D6" s="71" t="s">
        <v>25</v>
      </c>
      <c r="E6" s="71"/>
      <c r="F6" s="72"/>
      <c r="G6" s="538">
        <v>11351297.24</v>
      </c>
      <c r="H6" s="73">
        <f t="shared" si="0"/>
        <v>1.4472338448154879E-2</v>
      </c>
      <c r="I6" s="531">
        <v>1.7399999999999999E-2</v>
      </c>
      <c r="J6" s="75" t="s">
        <v>26</v>
      </c>
      <c r="K6" s="76"/>
      <c r="L6" s="77"/>
      <c r="M6" s="78"/>
      <c r="N6" s="79"/>
      <c r="O6" s="689"/>
      <c r="P6" s="692"/>
      <c r="Q6" s="695"/>
      <c r="R6" s="697"/>
      <c r="S6" s="683"/>
      <c r="T6" s="66"/>
      <c r="U6" s="67"/>
      <c r="V6" s="66"/>
      <c r="W6" s="66"/>
      <c r="X6" s="66"/>
      <c r="Y6" s="68"/>
    </row>
    <row r="7" spans="1:25" s="1" customFormat="1" ht="15.75" x14ac:dyDescent="0.25">
      <c r="A7" s="8"/>
      <c r="B7" s="55" t="s">
        <v>21</v>
      </c>
      <c r="C7" s="56" t="s">
        <v>22</v>
      </c>
      <c r="D7" s="57" t="s">
        <v>27</v>
      </c>
      <c r="E7" s="80"/>
      <c r="F7" s="71"/>
      <c r="G7" s="588">
        <v>24771311.079999998</v>
      </c>
      <c r="H7" s="82">
        <f t="shared" si="0"/>
        <v>3.1582187495804569E-2</v>
      </c>
      <c r="I7" s="531">
        <v>2.12E-2</v>
      </c>
      <c r="J7" s="62" t="s">
        <v>28</v>
      </c>
      <c r="K7" s="83"/>
      <c r="L7" s="638">
        <v>2.0960999999999999</v>
      </c>
      <c r="M7" s="85"/>
      <c r="N7" s="86"/>
      <c r="O7" s="689"/>
      <c r="P7" s="692"/>
      <c r="Q7" s="695"/>
      <c r="R7" s="697"/>
      <c r="S7" s="683"/>
      <c r="T7" s="66"/>
      <c r="U7" s="67"/>
      <c r="V7" s="66"/>
      <c r="W7" s="66"/>
      <c r="X7" s="66"/>
      <c r="Y7" s="68"/>
    </row>
    <row r="8" spans="1:25" s="1" customFormat="1" ht="16.5" thickBot="1" x14ac:dyDescent="0.3">
      <c r="A8" s="8"/>
      <c r="B8" s="55" t="s">
        <v>21</v>
      </c>
      <c r="C8" s="70" t="s">
        <v>22</v>
      </c>
      <c r="D8" s="87" t="s">
        <v>29</v>
      </c>
      <c r="E8" s="87"/>
      <c r="F8" s="71"/>
      <c r="G8" s="589">
        <v>27851378.68</v>
      </c>
      <c r="H8" s="73">
        <f t="shared" si="0"/>
        <v>3.5509120233793212E-2</v>
      </c>
      <c r="I8" s="531">
        <v>2.7E-2</v>
      </c>
      <c r="J8" s="89" t="s">
        <v>30</v>
      </c>
      <c r="K8" s="83"/>
      <c r="L8" s="90"/>
      <c r="M8" s="78"/>
      <c r="N8" s="79"/>
      <c r="O8" s="689"/>
      <c r="P8" s="692"/>
      <c r="Q8" s="695"/>
      <c r="R8" s="697"/>
      <c r="S8" s="683"/>
      <c r="T8" s="66"/>
      <c r="U8" s="67"/>
      <c r="V8" s="66"/>
      <c r="W8" s="66"/>
      <c r="X8" s="66"/>
      <c r="Y8" s="68"/>
    </row>
    <row r="9" spans="1:25" s="1" customFormat="1" ht="16.5" thickBot="1" x14ac:dyDescent="0.3">
      <c r="A9" s="8"/>
      <c r="B9" s="635" t="s">
        <v>258</v>
      </c>
      <c r="C9" s="70"/>
      <c r="D9" s="71" t="s">
        <v>259</v>
      </c>
      <c r="E9" s="87"/>
      <c r="F9" s="87"/>
      <c r="G9" s="588">
        <v>42596226.229999997</v>
      </c>
      <c r="H9" s="73">
        <f t="shared" si="0"/>
        <v>5.4308066257168358E-2</v>
      </c>
      <c r="I9" s="526">
        <v>1.4E-3</v>
      </c>
      <c r="J9" s="76" t="s">
        <v>257</v>
      </c>
      <c r="K9" s="636"/>
      <c r="L9" s="637"/>
      <c r="M9" s="78"/>
      <c r="N9" s="79"/>
      <c r="O9" s="689"/>
      <c r="P9" s="692"/>
      <c r="Q9" s="695"/>
      <c r="R9" s="697"/>
      <c r="S9" s="683"/>
      <c r="T9" s="66"/>
      <c r="U9" s="67"/>
      <c r="V9" s="66"/>
      <c r="W9" s="66"/>
      <c r="X9" s="66"/>
      <c r="Y9" s="68"/>
    </row>
    <row r="10" spans="1:25" s="1" customFormat="1" ht="15.75" x14ac:dyDescent="0.25">
      <c r="A10" s="8"/>
      <c r="B10" s="69" t="s">
        <v>21</v>
      </c>
      <c r="C10" s="419" t="s">
        <v>22</v>
      </c>
      <c r="D10" s="87" t="s">
        <v>31</v>
      </c>
      <c r="E10" s="87"/>
      <c r="F10" s="80"/>
      <c r="G10" s="588">
        <v>11304383.109999999</v>
      </c>
      <c r="H10" s="73">
        <f t="shared" si="0"/>
        <v>1.4412525269713192E-2</v>
      </c>
      <c r="I10" s="526">
        <v>2.7E-2</v>
      </c>
      <c r="J10" s="420" t="s">
        <v>32</v>
      </c>
      <c r="K10" s="421"/>
      <c r="L10" s="422"/>
      <c r="M10" s="78"/>
      <c r="N10" s="91"/>
      <c r="O10" s="689"/>
      <c r="P10" s="692"/>
      <c r="Q10" s="695"/>
      <c r="R10" s="697"/>
      <c r="S10" s="683"/>
      <c r="T10" s="66"/>
      <c r="U10" s="67"/>
      <c r="V10" s="66"/>
      <c r="W10" s="66"/>
      <c r="X10" s="66"/>
      <c r="Y10" s="68"/>
    </row>
    <row r="11" spans="1:25" s="1" customFormat="1" ht="16.5" thickBot="1" x14ac:dyDescent="0.3">
      <c r="A11" s="8"/>
      <c r="B11" s="55" t="s">
        <v>21</v>
      </c>
      <c r="C11" s="157" t="s">
        <v>22</v>
      </c>
      <c r="D11" s="71" t="s">
        <v>33</v>
      </c>
      <c r="E11" s="71"/>
      <c r="F11" s="71"/>
      <c r="G11" s="538">
        <v>19659796.719999999</v>
      </c>
      <c r="H11" s="73">
        <f t="shared" si="0"/>
        <v>2.5065261347500856E-2</v>
      </c>
      <c r="I11" s="531">
        <v>2.7E-2</v>
      </c>
      <c r="J11" s="75" t="s">
        <v>34</v>
      </c>
      <c r="K11" s="421"/>
      <c r="L11" s="83"/>
      <c r="M11" s="85"/>
      <c r="N11" s="79"/>
      <c r="O11" s="690"/>
      <c r="P11" s="693"/>
      <c r="Q11" s="696"/>
      <c r="R11" s="676"/>
      <c r="S11" s="684"/>
      <c r="T11" s="67"/>
      <c r="U11" s="67"/>
      <c r="V11" s="66"/>
      <c r="W11" s="67"/>
      <c r="X11" s="67"/>
      <c r="Y11" s="97"/>
    </row>
    <row r="12" spans="1:25" s="54" customFormat="1" ht="16.5" thickBot="1" x14ac:dyDescent="0.25">
      <c r="A12" s="40"/>
      <c r="B12" s="402" t="s">
        <v>167</v>
      </c>
      <c r="C12" s="403"/>
      <c r="D12" s="404"/>
      <c r="E12" s="404"/>
      <c r="F12" s="404"/>
      <c r="G12" s="43">
        <f>SUM(G13:G20)</f>
        <v>273958225.87</v>
      </c>
      <c r="H12" s="44">
        <f t="shared" si="0"/>
        <v>0.34928308911472922</v>
      </c>
      <c r="I12" s="98"/>
      <c r="J12" s="99"/>
      <c r="K12" s="45"/>
      <c r="L12" s="45"/>
      <c r="M12" s="148"/>
      <c r="N12" s="423"/>
      <c r="O12" s="48"/>
      <c r="P12" s="424"/>
      <c r="Q12" s="634"/>
      <c r="R12" s="103"/>
      <c r="S12" s="425"/>
      <c r="T12" s="53"/>
      <c r="U12" s="53"/>
      <c r="V12" s="53"/>
      <c r="W12" s="53"/>
      <c r="X12" s="53"/>
      <c r="Y12" s="53"/>
    </row>
    <row r="13" spans="1:25" s="1" customFormat="1" ht="15.75" customHeight="1" thickBot="1" x14ac:dyDescent="0.3">
      <c r="A13" s="8"/>
      <c r="B13" s="608" t="s">
        <v>35</v>
      </c>
      <c r="C13" s="105" t="s">
        <v>36</v>
      </c>
      <c r="D13" s="106" t="s">
        <v>37</v>
      </c>
      <c r="E13" s="609" t="s">
        <v>38</v>
      </c>
      <c r="F13" s="107" t="s">
        <v>39</v>
      </c>
      <c r="G13" s="563">
        <v>69724667.969999999</v>
      </c>
      <c r="H13" s="233">
        <f t="shared" si="0"/>
        <v>8.8895477909894285E-2</v>
      </c>
      <c r="I13" s="564">
        <v>1.46E-2</v>
      </c>
      <c r="J13" s="610"/>
      <c r="K13" s="167"/>
      <c r="L13" s="168" t="s">
        <v>40</v>
      </c>
      <c r="M13" s="612">
        <v>1191348011.53</v>
      </c>
      <c r="N13" s="116">
        <f t="shared" ref="N13:N20" si="1">G13/M13</f>
        <v>5.8525860869533354E-2</v>
      </c>
      <c r="O13" s="659" t="s">
        <v>41</v>
      </c>
      <c r="P13" s="662">
        <f>(SUM(G13:G20)/G72)</f>
        <v>0.34928308911472922</v>
      </c>
      <c r="Q13" s="655">
        <v>1</v>
      </c>
      <c r="R13" s="655">
        <v>0.5</v>
      </c>
      <c r="S13" s="657" t="s">
        <v>174</v>
      </c>
      <c r="T13" s="67"/>
      <c r="U13" s="67"/>
      <c r="V13" s="66"/>
      <c r="W13" s="67"/>
      <c r="X13" s="67"/>
      <c r="Y13" s="97"/>
    </row>
    <row r="14" spans="1:25" s="1" customFormat="1" ht="15.75" customHeight="1" x14ac:dyDescent="0.25">
      <c r="A14" s="8"/>
      <c r="B14" s="55" t="s">
        <v>35</v>
      </c>
      <c r="C14" s="105" t="s">
        <v>77</v>
      </c>
      <c r="D14" s="87" t="s">
        <v>242</v>
      </c>
      <c r="E14" s="120" t="s">
        <v>38</v>
      </c>
      <c r="F14" s="129" t="s">
        <v>39</v>
      </c>
      <c r="G14" s="529">
        <v>25036011.190000001</v>
      </c>
      <c r="H14" s="82">
        <f t="shared" si="0"/>
        <v>3.1919666948433532E-2</v>
      </c>
      <c r="I14" s="613">
        <v>1.4999999999999999E-2</v>
      </c>
      <c r="J14" s="124"/>
      <c r="K14" s="172"/>
      <c r="L14" s="132" t="s">
        <v>40</v>
      </c>
      <c r="M14" s="567">
        <v>1927127997.78</v>
      </c>
      <c r="N14" s="146">
        <f t="shared" si="1"/>
        <v>1.2991358757093882E-2</v>
      </c>
      <c r="O14" s="660"/>
      <c r="P14" s="663"/>
      <c r="Q14" s="665"/>
      <c r="R14" s="665"/>
      <c r="S14" s="677"/>
      <c r="T14" s="67"/>
      <c r="U14" s="67"/>
      <c r="V14" s="66"/>
      <c r="W14" s="67"/>
      <c r="X14" s="67"/>
      <c r="Y14" s="97"/>
    </row>
    <row r="15" spans="1:25" s="1" customFormat="1" ht="15.75" customHeight="1" thickBot="1" x14ac:dyDescent="0.3">
      <c r="A15" s="8"/>
      <c r="B15" s="117" t="s">
        <v>42</v>
      </c>
      <c r="C15" s="118" t="s">
        <v>43</v>
      </c>
      <c r="D15" s="57" t="s">
        <v>44</v>
      </c>
      <c r="E15" s="119" t="s">
        <v>38</v>
      </c>
      <c r="F15" s="120" t="s">
        <v>39</v>
      </c>
      <c r="G15" s="528">
        <v>19963198.149999999</v>
      </c>
      <c r="H15" s="122">
        <f t="shared" si="0"/>
        <v>2.5452083054991814E-2</v>
      </c>
      <c r="I15" s="539">
        <v>1.4831E-2</v>
      </c>
      <c r="J15" s="124"/>
      <c r="K15" s="125"/>
      <c r="L15" s="126" t="s">
        <v>45</v>
      </c>
      <c r="M15" s="547">
        <v>5447124355.3299999</v>
      </c>
      <c r="N15" s="128">
        <f t="shared" si="1"/>
        <v>3.664905893045392E-3</v>
      </c>
      <c r="O15" s="660"/>
      <c r="P15" s="663"/>
      <c r="Q15" s="665"/>
      <c r="R15" s="665"/>
      <c r="S15" s="677"/>
      <c r="T15" s="67"/>
      <c r="U15" s="67"/>
      <c r="V15" s="66"/>
      <c r="W15" s="67"/>
      <c r="X15" s="67"/>
      <c r="Y15" s="97"/>
    </row>
    <row r="16" spans="1:25" s="1" customFormat="1" ht="15.75" customHeight="1" thickBot="1" x14ac:dyDescent="0.3">
      <c r="A16" s="8"/>
      <c r="B16" s="117" t="s">
        <v>42</v>
      </c>
      <c r="C16" s="118" t="s">
        <v>43</v>
      </c>
      <c r="D16" s="57" t="s">
        <v>61</v>
      </c>
      <c r="E16" s="119" t="s">
        <v>38</v>
      </c>
      <c r="F16" s="119" t="s">
        <v>39</v>
      </c>
      <c r="G16" s="528">
        <v>22980661.350000001</v>
      </c>
      <c r="H16" s="122">
        <f t="shared" si="0"/>
        <v>2.9299198301993529E-2</v>
      </c>
      <c r="I16" s="539">
        <v>1.4585000000000001E-2</v>
      </c>
      <c r="J16" s="124"/>
      <c r="K16" s="125"/>
      <c r="L16" s="145" t="s">
        <v>53</v>
      </c>
      <c r="M16" s="547">
        <v>2278192713.8699999</v>
      </c>
      <c r="N16" s="128">
        <f>G16/M16</f>
        <v>1.0087233274906937E-2</v>
      </c>
      <c r="O16" s="660"/>
      <c r="P16" s="663"/>
      <c r="Q16" s="665"/>
      <c r="R16" s="665"/>
      <c r="S16" s="677"/>
      <c r="T16" s="67"/>
      <c r="U16" s="67"/>
      <c r="V16" s="66"/>
      <c r="W16" s="67"/>
      <c r="X16" s="67"/>
      <c r="Y16" s="97"/>
    </row>
    <row r="17" spans="1:25" s="1" customFormat="1" ht="15.75" customHeight="1" x14ac:dyDescent="0.25">
      <c r="A17" s="8"/>
      <c r="B17" s="117" t="s">
        <v>46</v>
      </c>
      <c r="C17" s="105" t="s">
        <v>36</v>
      </c>
      <c r="D17" s="71" t="s">
        <v>47</v>
      </c>
      <c r="E17" s="129" t="s">
        <v>48</v>
      </c>
      <c r="F17" s="129" t="s">
        <v>49</v>
      </c>
      <c r="G17" s="538">
        <v>12492531.26</v>
      </c>
      <c r="H17" s="122">
        <f t="shared" si="0"/>
        <v>1.5927354966248308E-2</v>
      </c>
      <c r="I17" s="562">
        <v>2.3699999999999999E-2</v>
      </c>
      <c r="J17" s="131"/>
      <c r="K17" s="125"/>
      <c r="L17" s="132" t="s">
        <v>40</v>
      </c>
      <c r="M17" s="547">
        <v>265516607.53</v>
      </c>
      <c r="N17" s="133">
        <f t="shared" si="1"/>
        <v>4.704990537583794E-2</v>
      </c>
      <c r="O17" s="660"/>
      <c r="P17" s="663"/>
      <c r="Q17" s="665"/>
      <c r="R17" s="665"/>
      <c r="S17" s="677"/>
      <c r="T17" s="67"/>
      <c r="U17" s="67"/>
      <c r="V17" s="66"/>
      <c r="W17" s="67"/>
      <c r="X17" s="67"/>
      <c r="Y17" s="97"/>
    </row>
    <row r="18" spans="1:25" s="1" customFormat="1" ht="16.5" thickBot="1" x14ac:dyDescent="0.3">
      <c r="A18" s="8"/>
      <c r="B18" s="134" t="s">
        <v>50</v>
      </c>
      <c r="C18" s="93" t="s">
        <v>51</v>
      </c>
      <c r="D18" s="71" t="s">
        <v>52</v>
      </c>
      <c r="E18" s="120" t="s">
        <v>38</v>
      </c>
      <c r="F18" s="120" t="s">
        <v>38</v>
      </c>
      <c r="G18" s="568">
        <v>53840104.490000002</v>
      </c>
      <c r="H18" s="122">
        <f t="shared" si="0"/>
        <v>6.8643450857542976E-2</v>
      </c>
      <c r="I18" s="531">
        <v>1.4619E-2</v>
      </c>
      <c r="J18" s="136"/>
      <c r="K18" s="137"/>
      <c r="L18" s="138" t="s">
        <v>53</v>
      </c>
      <c r="M18" s="548">
        <v>7322766489.3900003</v>
      </c>
      <c r="N18" s="133">
        <f t="shared" si="1"/>
        <v>7.3524267867901083E-3</v>
      </c>
      <c r="O18" s="660"/>
      <c r="P18" s="663"/>
      <c r="Q18" s="665"/>
      <c r="R18" s="665"/>
      <c r="S18" s="677"/>
      <c r="T18" s="67"/>
      <c r="U18" s="67"/>
      <c r="V18" s="66"/>
      <c r="W18" s="67"/>
      <c r="X18" s="67"/>
      <c r="Y18" s="97"/>
    </row>
    <row r="19" spans="1:25" s="1" customFormat="1" ht="16.5" thickBot="1" x14ac:dyDescent="0.3">
      <c r="A19" s="8"/>
      <c r="B19" s="134" t="s">
        <v>50</v>
      </c>
      <c r="C19" s="93" t="s">
        <v>51</v>
      </c>
      <c r="D19" s="71" t="s">
        <v>54</v>
      </c>
      <c r="E19" s="120" t="s">
        <v>38</v>
      </c>
      <c r="F19" s="120" t="s">
        <v>38</v>
      </c>
      <c r="G19" s="568">
        <v>62859333.060000002</v>
      </c>
      <c r="H19" s="122">
        <f t="shared" si="0"/>
        <v>8.0142517937413393E-2</v>
      </c>
      <c r="I19" s="531">
        <v>1.5878E-2</v>
      </c>
      <c r="J19" s="136"/>
      <c r="K19" s="137"/>
      <c r="L19" s="138" t="s">
        <v>53</v>
      </c>
      <c r="M19" s="548">
        <v>2432051278.1199999</v>
      </c>
      <c r="N19" s="133">
        <f t="shared" si="1"/>
        <v>2.5846220277308832E-2</v>
      </c>
      <c r="O19" s="660"/>
      <c r="P19" s="663"/>
      <c r="Q19" s="665"/>
      <c r="R19" s="665"/>
      <c r="S19" s="677"/>
      <c r="T19" s="67"/>
      <c r="U19" s="67"/>
      <c r="V19" s="66"/>
      <c r="W19" s="67"/>
      <c r="X19" s="67"/>
      <c r="Y19" s="97"/>
    </row>
    <row r="20" spans="1:25" s="1" customFormat="1" ht="16.5" thickBot="1" x14ac:dyDescent="0.3">
      <c r="A20" s="8"/>
      <c r="B20" s="55" t="s">
        <v>55</v>
      </c>
      <c r="C20" s="105" t="s">
        <v>36</v>
      </c>
      <c r="D20" s="71" t="s">
        <v>56</v>
      </c>
      <c r="E20" s="140" t="s">
        <v>38</v>
      </c>
      <c r="F20" s="140" t="s">
        <v>39</v>
      </c>
      <c r="G20" s="565">
        <v>7061718.4000000004</v>
      </c>
      <c r="H20" s="122">
        <f t="shared" si="0"/>
        <v>9.0033391382113755E-3</v>
      </c>
      <c r="I20" s="531">
        <v>1.44E-2</v>
      </c>
      <c r="J20" s="143"/>
      <c r="K20" s="144"/>
      <c r="L20" s="145" t="s">
        <v>53</v>
      </c>
      <c r="M20" s="569">
        <v>1264845506.3800001</v>
      </c>
      <c r="N20" s="146">
        <f t="shared" si="1"/>
        <v>5.5830679433812478E-3</v>
      </c>
      <c r="O20" s="660"/>
      <c r="P20" s="663"/>
      <c r="Q20" s="665"/>
      <c r="R20" s="665"/>
      <c r="S20" s="677"/>
      <c r="T20" s="67"/>
      <c r="U20" s="67"/>
      <c r="V20" s="66"/>
      <c r="W20" s="67"/>
      <c r="X20" s="67"/>
      <c r="Y20" s="97"/>
    </row>
    <row r="21" spans="1:25" s="1" customFormat="1" ht="16.5" thickBot="1" x14ac:dyDescent="0.3">
      <c r="A21" s="217"/>
      <c r="B21" s="405" t="s">
        <v>173</v>
      </c>
      <c r="C21" s="406"/>
      <c r="D21" s="407"/>
      <c r="E21" s="408"/>
      <c r="F21" s="408"/>
      <c r="G21" s="387"/>
      <c r="H21" s="44"/>
      <c r="I21" s="44"/>
      <c r="J21" s="44"/>
      <c r="K21" s="378"/>
      <c r="L21" s="382"/>
      <c r="M21" s="375"/>
      <c r="N21" s="219"/>
      <c r="O21" s="376" t="s">
        <v>41</v>
      </c>
      <c r="P21" s="362">
        <v>0</v>
      </c>
      <c r="Q21" s="201">
        <v>1</v>
      </c>
      <c r="R21" s="103">
        <v>0</v>
      </c>
      <c r="S21" s="631" t="s">
        <v>168</v>
      </c>
      <c r="T21" s="67"/>
      <c r="U21" s="67"/>
      <c r="V21" s="66"/>
      <c r="W21" s="67"/>
      <c r="X21" s="67"/>
      <c r="Y21" s="97"/>
    </row>
    <row r="22" spans="1:25" s="1" customFormat="1" ht="16.5" thickBot="1" x14ac:dyDescent="0.3">
      <c r="A22" s="217"/>
      <c r="B22" s="405" t="s">
        <v>169</v>
      </c>
      <c r="C22" s="406"/>
      <c r="D22" s="409"/>
      <c r="E22" s="410"/>
      <c r="F22" s="410"/>
      <c r="G22" s="388"/>
      <c r="H22" s="44"/>
      <c r="I22" s="130"/>
      <c r="J22" s="130"/>
      <c r="K22" s="232"/>
      <c r="L22" s="126"/>
      <c r="M22" s="380"/>
      <c r="N22" s="263"/>
      <c r="O22" s="381" t="s">
        <v>41</v>
      </c>
      <c r="P22" s="384">
        <v>0</v>
      </c>
      <c r="Q22" s="200">
        <v>0.05</v>
      </c>
      <c r="R22" s="201">
        <v>0</v>
      </c>
      <c r="S22" s="202" t="s">
        <v>170</v>
      </c>
      <c r="T22" s="67"/>
      <c r="U22" s="67"/>
      <c r="V22" s="66"/>
      <c r="W22" s="67"/>
      <c r="X22" s="67"/>
      <c r="Y22" s="97"/>
    </row>
    <row r="23" spans="1:25" s="54" customFormat="1" ht="23.25" thickBot="1" x14ac:dyDescent="0.25">
      <c r="A23" s="40"/>
      <c r="B23" s="402" t="s">
        <v>171</v>
      </c>
      <c r="C23" s="403"/>
      <c r="D23" s="404"/>
      <c r="E23" s="404"/>
      <c r="F23" s="404"/>
      <c r="G23" s="43"/>
      <c r="H23" s="393">
        <f>G23/$G$72</f>
        <v>0</v>
      </c>
      <c r="I23" s="98"/>
      <c r="J23" s="45"/>
      <c r="K23" s="45"/>
      <c r="L23" s="383"/>
      <c r="M23" s="148"/>
      <c r="N23" s="149"/>
      <c r="O23" s="640" t="s">
        <v>243</v>
      </c>
      <c r="P23" s="384">
        <v>0</v>
      </c>
      <c r="Q23" s="201">
        <v>0.6</v>
      </c>
      <c r="R23" s="639">
        <v>0.35</v>
      </c>
      <c r="S23" s="641" t="s">
        <v>244</v>
      </c>
      <c r="T23" s="53"/>
      <c r="U23" s="53"/>
      <c r="V23" s="53"/>
      <c r="W23" s="53"/>
      <c r="X23" s="53"/>
      <c r="Y23" s="53"/>
    </row>
    <row r="24" spans="1:25" s="1" customFormat="1" ht="16.5" thickBot="1" x14ac:dyDescent="0.3">
      <c r="A24" s="8"/>
      <c r="B24" s="411" t="s">
        <v>181</v>
      </c>
      <c r="C24" s="406"/>
      <c r="D24" s="412"/>
      <c r="E24" s="408"/>
      <c r="F24" s="408"/>
      <c r="G24" s="387"/>
      <c r="H24" s="393"/>
      <c r="I24" s="44"/>
      <c r="J24" s="44"/>
      <c r="K24" s="395"/>
      <c r="L24" s="642"/>
      <c r="M24" s="396"/>
      <c r="N24" s="44"/>
      <c r="O24" s="385" t="s">
        <v>172</v>
      </c>
      <c r="P24" s="384">
        <v>0</v>
      </c>
      <c r="Q24" s="201">
        <v>0.6</v>
      </c>
      <c r="R24" s="630">
        <v>0</v>
      </c>
      <c r="S24" s="379" t="s">
        <v>180</v>
      </c>
      <c r="T24" s="162"/>
      <c r="U24" s="67"/>
      <c r="V24" s="66"/>
      <c r="W24" s="66"/>
      <c r="X24" s="66"/>
      <c r="Y24" s="68"/>
    </row>
    <row r="25" spans="1:25" s="54" customFormat="1" ht="16.5" thickBot="1" x14ac:dyDescent="0.25">
      <c r="A25" s="40"/>
      <c r="B25" s="402" t="s">
        <v>176</v>
      </c>
      <c r="C25" s="403"/>
      <c r="D25" s="404"/>
      <c r="E25" s="404"/>
      <c r="F25" s="404"/>
      <c r="G25" s="397">
        <f>SUM(G26:G34)</f>
        <v>179841089.59000003</v>
      </c>
      <c r="H25" s="260">
        <f t="shared" ref="H25:H34" si="2">G25/$G$72</f>
        <v>0.22928842936645924</v>
      </c>
      <c r="I25" s="392"/>
      <c r="J25" s="45"/>
      <c r="K25" s="187"/>
      <c r="L25" s="45"/>
      <c r="M25" s="148"/>
      <c r="N25" s="149"/>
      <c r="O25" s="42"/>
      <c r="P25" s="632"/>
      <c r="Q25" s="632"/>
      <c r="R25" s="633"/>
      <c r="S25" s="163"/>
      <c r="T25" s="53"/>
      <c r="U25" s="53"/>
      <c r="V25" s="53"/>
      <c r="W25" s="53"/>
      <c r="X25" s="53"/>
      <c r="Y25" s="53"/>
    </row>
    <row r="26" spans="1:25" s="1" customFormat="1" ht="15.75" x14ac:dyDescent="0.25">
      <c r="A26" s="8"/>
      <c r="B26" s="55" t="s">
        <v>72</v>
      </c>
      <c r="C26" s="157" t="s">
        <v>68</v>
      </c>
      <c r="D26" s="71" t="s">
        <v>73</v>
      </c>
      <c r="E26" s="140" t="s">
        <v>70</v>
      </c>
      <c r="F26" s="140" t="s">
        <v>74</v>
      </c>
      <c r="G26" s="565">
        <v>618565.89</v>
      </c>
      <c r="H26" s="164">
        <f t="shared" si="2"/>
        <v>7.8864069218613302E-4</v>
      </c>
      <c r="I26" s="526">
        <v>4.5999999999999999E-3</v>
      </c>
      <c r="J26" s="624"/>
      <c r="K26" s="144"/>
      <c r="L26" s="145" t="s">
        <v>71</v>
      </c>
      <c r="M26" s="566">
        <v>8257738766.0600004</v>
      </c>
      <c r="N26" s="133">
        <f t="shared" ref="N26:N34" si="3">G26/M26</f>
        <v>7.4907418062479498E-5</v>
      </c>
      <c r="O26" s="659" t="s">
        <v>172</v>
      </c>
      <c r="P26" s="662">
        <f>SUM(G26:G34)/G72</f>
        <v>0.22928842936645924</v>
      </c>
      <c r="Q26" s="655">
        <v>0.4</v>
      </c>
      <c r="R26" s="655">
        <v>0.3</v>
      </c>
      <c r="S26" s="657" t="s">
        <v>177</v>
      </c>
      <c r="T26" s="67"/>
      <c r="U26" s="67"/>
      <c r="V26" s="66"/>
      <c r="W26" s="67"/>
      <c r="X26" s="67"/>
      <c r="Y26" s="97"/>
    </row>
    <row r="27" spans="1:25" s="1" customFormat="1" ht="15.75" x14ac:dyDescent="0.25">
      <c r="A27" s="8"/>
      <c r="B27" s="55" t="s">
        <v>260</v>
      </c>
      <c r="C27" s="157" t="s">
        <v>68</v>
      </c>
      <c r="D27" s="71" t="s">
        <v>69</v>
      </c>
      <c r="E27" s="140" t="s">
        <v>70</v>
      </c>
      <c r="F27" s="140" t="s">
        <v>70</v>
      </c>
      <c r="G27" s="565">
        <v>239306.58</v>
      </c>
      <c r="H27" s="164">
        <f t="shared" si="2"/>
        <v>3.0510396700971697E-4</v>
      </c>
      <c r="I27" s="526">
        <v>5.3E-3</v>
      </c>
      <c r="J27" s="171"/>
      <c r="K27" s="172"/>
      <c r="L27" s="145" t="s">
        <v>71</v>
      </c>
      <c r="M27" s="566">
        <v>6791040417.9399996</v>
      </c>
      <c r="N27" s="133">
        <f t="shared" si="3"/>
        <v>3.5238573955151259E-5</v>
      </c>
      <c r="O27" s="660"/>
      <c r="P27" s="663"/>
      <c r="Q27" s="665"/>
      <c r="R27" s="665"/>
      <c r="S27" s="677"/>
      <c r="T27" s="67"/>
      <c r="U27" s="67"/>
      <c r="V27" s="66"/>
      <c r="W27" s="67"/>
      <c r="X27" s="67"/>
      <c r="Y27" s="97"/>
    </row>
    <row r="28" spans="1:25" s="1" customFormat="1" ht="15.75" x14ac:dyDescent="0.25">
      <c r="A28" s="8"/>
      <c r="B28" s="55" t="s">
        <v>42</v>
      </c>
      <c r="C28" s="56" t="s">
        <v>43</v>
      </c>
      <c r="D28" s="57" t="s">
        <v>59</v>
      </c>
      <c r="E28" s="119" t="s">
        <v>38</v>
      </c>
      <c r="F28" s="129" t="s">
        <v>39</v>
      </c>
      <c r="G28" s="538">
        <v>52323368.68</v>
      </c>
      <c r="H28" s="82">
        <f>G28/$G$72</f>
        <v>6.6709688265069761E-2</v>
      </c>
      <c r="I28" s="531">
        <v>2.3726000000000001E-2</v>
      </c>
      <c r="J28" s="124"/>
      <c r="K28" s="172"/>
      <c r="L28" s="132" t="s">
        <v>40</v>
      </c>
      <c r="M28" s="567">
        <v>996875803.38</v>
      </c>
      <c r="N28" s="133">
        <f>G28/M28</f>
        <v>5.2487349479837665E-2</v>
      </c>
      <c r="O28" s="660"/>
      <c r="P28" s="663"/>
      <c r="Q28" s="665"/>
      <c r="R28" s="665"/>
      <c r="S28" s="677"/>
      <c r="T28" s="67"/>
      <c r="U28" s="67"/>
      <c r="V28" s="66"/>
      <c r="W28" s="67"/>
      <c r="X28" s="67"/>
      <c r="Y28" s="97"/>
    </row>
    <row r="29" spans="1:25" s="1" customFormat="1" ht="16.5" thickBot="1" x14ac:dyDescent="0.3">
      <c r="A29" s="8"/>
      <c r="B29" s="173" t="s">
        <v>75</v>
      </c>
      <c r="C29" s="174"/>
      <c r="D29" s="175" t="s">
        <v>76</v>
      </c>
      <c r="E29" s="140" t="s">
        <v>38</v>
      </c>
      <c r="F29" s="129" t="s">
        <v>39</v>
      </c>
      <c r="G29" s="538">
        <v>16329160.060000001</v>
      </c>
      <c r="H29" s="176">
        <f t="shared" si="2"/>
        <v>2.081886554161038E-2</v>
      </c>
      <c r="I29" s="540">
        <v>5.7000000000000002E-3</v>
      </c>
      <c r="J29" s="177"/>
      <c r="K29" s="178"/>
      <c r="L29" s="126" t="s">
        <v>71</v>
      </c>
      <c r="M29" s="541">
        <v>207341637.59999999</v>
      </c>
      <c r="N29" s="133">
        <f t="shared" si="3"/>
        <v>7.8754852373173312E-2</v>
      </c>
      <c r="O29" s="660"/>
      <c r="P29" s="663"/>
      <c r="Q29" s="665"/>
      <c r="R29" s="665"/>
      <c r="S29" s="677"/>
      <c r="T29" s="67"/>
      <c r="U29" s="67"/>
      <c r="V29" s="66"/>
      <c r="W29" s="67"/>
      <c r="X29" s="67"/>
      <c r="Y29" s="97"/>
    </row>
    <row r="30" spans="1:25" s="1" customFormat="1" ht="16.5" thickBot="1" x14ac:dyDescent="0.3">
      <c r="A30" s="8"/>
      <c r="B30" s="55" t="s">
        <v>55</v>
      </c>
      <c r="C30" s="105" t="s">
        <v>77</v>
      </c>
      <c r="D30" s="71" t="s">
        <v>78</v>
      </c>
      <c r="E30" s="140" t="s">
        <v>38</v>
      </c>
      <c r="F30" s="140" t="s">
        <v>38</v>
      </c>
      <c r="G30" s="565">
        <v>0</v>
      </c>
      <c r="H30" s="142">
        <f t="shared" si="2"/>
        <v>0</v>
      </c>
      <c r="I30" s="531">
        <v>0</v>
      </c>
      <c r="J30" s="143"/>
      <c r="K30" s="144"/>
      <c r="L30" s="126" t="s">
        <v>71</v>
      </c>
      <c r="M30" s="569">
        <v>10845925063.57</v>
      </c>
      <c r="N30" s="133">
        <f t="shared" si="3"/>
        <v>0</v>
      </c>
      <c r="O30" s="660"/>
      <c r="P30" s="663"/>
      <c r="Q30" s="665"/>
      <c r="R30" s="665"/>
      <c r="S30" s="677"/>
      <c r="T30" s="67"/>
      <c r="U30" s="67"/>
      <c r="V30" s="66"/>
      <c r="W30" s="67"/>
      <c r="X30" s="67"/>
      <c r="Y30" s="97"/>
    </row>
    <row r="31" spans="1:25" s="1" customFormat="1" ht="15.75" x14ac:dyDescent="0.25">
      <c r="A31" s="8"/>
      <c r="B31" s="55" t="s">
        <v>55</v>
      </c>
      <c r="C31" s="105" t="s">
        <v>36</v>
      </c>
      <c r="D31" s="71" t="s">
        <v>79</v>
      </c>
      <c r="E31" s="140" t="s">
        <v>38</v>
      </c>
      <c r="F31" s="140" t="s">
        <v>39</v>
      </c>
      <c r="G31" s="565">
        <v>27094470.010000002</v>
      </c>
      <c r="H31" s="142">
        <f t="shared" si="2"/>
        <v>3.4544099389481088E-2</v>
      </c>
      <c r="I31" s="531">
        <v>5.7000000000000002E-3</v>
      </c>
      <c r="J31" s="143"/>
      <c r="K31" s="144"/>
      <c r="L31" s="145" t="s">
        <v>80</v>
      </c>
      <c r="M31" s="569">
        <v>1394012894.54</v>
      </c>
      <c r="N31" s="133">
        <f t="shared" si="3"/>
        <v>1.9436312329765577E-2</v>
      </c>
      <c r="O31" s="660"/>
      <c r="P31" s="663"/>
      <c r="Q31" s="665"/>
      <c r="R31" s="665"/>
      <c r="S31" s="677"/>
      <c r="T31" s="67"/>
      <c r="U31" s="67"/>
      <c r="V31" s="66"/>
      <c r="W31" s="67"/>
      <c r="X31" s="67"/>
      <c r="Y31" s="97"/>
    </row>
    <row r="32" spans="1:25" s="1" customFormat="1" ht="15.75" x14ac:dyDescent="0.25">
      <c r="A32" s="8"/>
      <c r="B32" s="55" t="s">
        <v>62</v>
      </c>
      <c r="C32" s="157" t="s">
        <v>63</v>
      </c>
      <c r="D32" s="158" t="s">
        <v>64</v>
      </c>
      <c r="E32" s="119" t="s">
        <v>38</v>
      </c>
      <c r="F32" s="119" t="s">
        <v>39</v>
      </c>
      <c r="G32" s="538">
        <v>47617076.079999998</v>
      </c>
      <c r="H32" s="73">
        <f>G32/$G$72</f>
        <v>6.070939967221755E-2</v>
      </c>
      <c r="I32" s="545">
        <v>2.3400000000000001E-2</v>
      </c>
      <c r="J32" s="390"/>
      <c r="K32" s="391"/>
      <c r="L32" s="160" t="s">
        <v>40</v>
      </c>
      <c r="M32" s="547">
        <v>1232430690.1099999</v>
      </c>
      <c r="N32" s="133">
        <f>G32/M32</f>
        <v>3.8636717230524309E-2</v>
      </c>
      <c r="O32" s="660"/>
      <c r="P32" s="663"/>
      <c r="Q32" s="665"/>
      <c r="R32" s="665"/>
      <c r="S32" s="677"/>
      <c r="T32" s="67"/>
      <c r="U32" s="67"/>
      <c r="V32" s="66"/>
      <c r="W32" s="67"/>
      <c r="X32" s="67"/>
      <c r="Y32" s="97"/>
    </row>
    <row r="33" spans="1:25" s="1" customFormat="1" ht="15.75" x14ac:dyDescent="0.25">
      <c r="A33" s="8"/>
      <c r="B33" s="134" t="s">
        <v>62</v>
      </c>
      <c r="C33" s="157" t="s">
        <v>65</v>
      </c>
      <c r="D33" s="644" t="s">
        <v>66</v>
      </c>
      <c r="E33" s="129" t="s">
        <v>38</v>
      </c>
      <c r="F33" s="223" t="s">
        <v>39</v>
      </c>
      <c r="G33" s="568">
        <v>27974005.460000001</v>
      </c>
      <c r="H33" s="240">
        <f>G33/$G$72</f>
        <v>3.5665463268905864E-2</v>
      </c>
      <c r="I33" s="613">
        <v>1.4999999999999999E-2</v>
      </c>
      <c r="J33" s="234"/>
      <c r="K33" s="429"/>
      <c r="L33" s="132" t="s">
        <v>53</v>
      </c>
      <c r="M33" s="548">
        <v>541139680.02999997</v>
      </c>
      <c r="N33" s="146">
        <f>G33/M33</f>
        <v>5.1694611377323438E-2</v>
      </c>
      <c r="O33" s="660"/>
      <c r="P33" s="663"/>
      <c r="Q33" s="665"/>
      <c r="R33" s="665"/>
      <c r="S33" s="677"/>
      <c r="T33" s="67"/>
      <c r="U33" s="67"/>
      <c r="V33" s="66"/>
      <c r="W33" s="67"/>
      <c r="X33" s="67"/>
      <c r="Y33" s="97"/>
    </row>
    <row r="34" spans="1:25" s="1" customFormat="1" ht="16.5" thickBot="1" x14ac:dyDescent="0.3">
      <c r="A34" s="8"/>
      <c r="B34" s="643" t="s">
        <v>62</v>
      </c>
      <c r="C34" s="180"/>
      <c r="D34" s="645" t="s">
        <v>81</v>
      </c>
      <c r="E34" s="646" t="s">
        <v>38</v>
      </c>
      <c r="F34" s="389" t="s">
        <v>38</v>
      </c>
      <c r="G34" s="560">
        <v>7645136.8300000001</v>
      </c>
      <c r="H34" s="242">
        <f t="shared" si="2"/>
        <v>9.7471685699786949E-3</v>
      </c>
      <c r="I34" s="540">
        <v>5.3E-3</v>
      </c>
      <c r="J34" s="647"/>
      <c r="K34" s="648"/>
      <c r="L34" s="126" t="s">
        <v>71</v>
      </c>
      <c r="M34" s="541">
        <v>9197790011.4300003</v>
      </c>
      <c r="N34" s="146">
        <f t="shared" si="3"/>
        <v>8.3119279962898327E-4</v>
      </c>
      <c r="O34" s="661"/>
      <c r="P34" s="664"/>
      <c r="Q34" s="656"/>
      <c r="R34" s="656"/>
      <c r="S34" s="658"/>
      <c r="T34" s="67"/>
      <c r="U34" s="67"/>
      <c r="V34" s="66"/>
      <c r="W34" s="67"/>
      <c r="X34" s="67"/>
      <c r="Y34" s="97"/>
    </row>
    <row r="35" spans="1:25" s="1" customFormat="1" ht="16.5" thickBot="1" x14ac:dyDescent="0.3">
      <c r="A35" s="8"/>
      <c r="B35" s="411" t="s">
        <v>178</v>
      </c>
      <c r="C35" s="406"/>
      <c r="D35" s="407"/>
      <c r="E35" s="408"/>
      <c r="F35" s="413"/>
      <c r="G35" s="387"/>
      <c r="H35" s="260"/>
      <c r="I35" s="44"/>
      <c r="J35" s="44"/>
      <c r="K35" s="183"/>
      <c r="L35" s="513"/>
      <c r="M35" s="507"/>
      <c r="N35" s="508"/>
      <c r="O35" s="400" t="s">
        <v>60</v>
      </c>
      <c r="P35" s="384">
        <v>0</v>
      </c>
      <c r="Q35" s="200">
        <v>0.4</v>
      </c>
      <c r="R35" s="201">
        <v>0</v>
      </c>
      <c r="S35" s="202" t="s">
        <v>179</v>
      </c>
      <c r="T35" s="67"/>
      <c r="U35" s="67"/>
      <c r="V35" s="66"/>
      <c r="W35" s="67"/>
      <c r="X35" s="67"/>
      <c r="Y35" s="97"/>
    </row>
    <row r="36" spans="1:25" s="1" customFormat="1" ht="16.5" thickBot="1" x14ac:dyDescent="0.3">
      <c r="A36" s="8"/>
      <c r="B36" s="503" t="s">
        <v>182</v>
      </c>
      <c r="C36" s="406"/>
      <c r="D36" s="504"/>
      <c r="E36" s="413"/>
      <c r="F36" s="413"/>
      <c r="G36" s="387"/>
      <c r="H36" s="260"/>
      <c r="I36" s="44"/>
      <c r="J36" s="260"/>
      <c r="K36" s="183"/>
      <c r="L36" s="398"/>
      <c r="M36" s="185"/>
      <c r="N36" s="260"/>
      <c r="O36" s="399" t="s">
        <v>60</v>
      </c>
      <c r="P36" s="384">
        <v>0</v>
      </c>
      <c r="Q36" s="201">
        <v>0.2</v>
      </c>
      <c r="R36" s="103">
        <v>0</v>
      </c>
      <c r="S36" s="202" t="s">
        <v>183</v>
      </c>
      <c r="T36" s="67"/>
      <c r="U36" s="67"/>
      <c r="V36" s="66"/>
      <c r="W36" s="67"/>
      <c r="X36" s="67"/>
      <c r="Y36" s="97"/>
    </row>
    <row r="37" spans="1:25" s="1" customFormat="1" ht="16.5" thickBot="1" x14ac:dyDescent="0.3">
      <c r="A37" s="8"/>
      <c r="B37" s="411" t="s">
        <v>184</v>
      </c>
      <c r="C37" s="406"/>
      <c r="D37" s="504"/>
      <c r="E37" s="413"/>
      <c r="F37" s="413"/>
      <c r="G37" s="377"/>
      <c r="H37" s="260"/>
      <c r="I37" s="44"/>
      <c r="J37" s="260"/>
      <c r="K37" s="183"/>
      <c r="L37" s="398"/>
      <c r="M37" s="185"/>
      <c r="N37" s="260"/>
      <c r="O37" s="369" t="s">
        <v>60</v>
      </c>
      <c r="P37" s="362">
        <v>0</v>
      </c>
      <c r="Q37" s="102">
        <v>0.15</v>
      </c>
      <c r="R37" s="103">
        <v>0</v>
      </c>
      <c r="S37" s="202" t="s">
        <v>186</v>
      </c>
      <c r="T37" s="67"/>
      <c r="U37" s="67"/>
      <c r="V37" s="66"/>
      <c r="W37" s="67"/>
      <c r="X37" s="67"/>
      <c r="Y37" s="97"/>
    </row>
    <row r="38" spans="1:25" s="1" customFormat="1" ht="16.5" thickBot="1" x14ac:dyDescent="0.3">
      <c r="A38" s="8"/>
      <c r="B38" s="411" t="s">
        <v>185</v>
      </c>
      <c r="C38" s="509"/>
      <c r="D38" s="504"/>
      <c r="E38" s="413"/>
      <c r="F38" s="413"/>
      <c r="G38" s="377"/>
      <c r="H38" s="260"/>
      <c r="I38" s="44"/>
      <c r="J38" s="260"/>
      <c r="K38" s="183"/>
      <c r="L38" s="398"/>
      <c r="M38" s="185"/>
      <c r="N38" s="260"/>
      <c r="O38" s="369" t="s">
        <v>60</v>
      </c>
      <c r="P38" s="362">
        <v>0</v>
      </c>
      <c r="Q38" s="102">
        <v>0.15</v>
      </c>
      <c r="R38" s="103">
        <v>0</v>
      </c>
      <c r="S38" s="202" t="s">
        <v>187</v>
      </c>
      <c r="T38" s="67"/>
      <c r="U38" s="67"/>
      <c r="V38" s="66"/>
      <c r="W38" s="67"/>
      <c r="X38" s="67"/>
      <c r="Y38" s="97"/>
    </row>
    <row r="39" spans="1:25" s="54" customFormat="1" ht="16.5" thickBot="1" x14ac:dyDescent="0.25">
      <c r="A39" s="40"/>
      <c r="B39" s="510" t="s">
        <v>188</v>
      </c>
      <c r="C39" s="403"/>
      <c r="D39" s="404"/>
      <c r="E39" s="404"/>
      <c r="F39" s="404"/>
      <c r="G39" s="43">
        <f>SUM(G40:G42)</f>
        <v>7261012.3200000003</v>
      </c>
      <c r="H39" s="44">
        <f>G39/$G$72</f>
        <v>9.2574289571913503E-3</v>
      </c>
      <c r="I39" s="98"/>
      <c r="J39" s="45"/>
      <c r="K39" s="45"/>
      <c r="L39" s="187"/>
      <c r="M39" s="188"/>
      <c r="N39" s="189"/>
      <c r="O39" s="190"/>
      <c r="P39" s="191"/>
      <c r="Q39" s="632"/>
      <c r="R39" s="633"/>
      <c r="S39" s="152"/>
      <c r="T39" s="53"/>
      <c r="U39" s="53"/>
      <c r="V39" s="53"/>
      <c r="W39" s="53"/>
      <c r="X39" s="53"/>
      <c r="Y39" s="53"/>
    </row>
    <row r="40" spans="1:25" s="1" customFormat="1" ht="16.5" thickBot="1" x14ac:dyDescent="0.3">
      <c r="A40" s="8"/>
      <c r="B40" s="104" t="s">
        <v>82</v>
      </c>
      <c r="C40" s="118"/>
      <c r="D40" s="208" t="s">
        <v>83</v>
      </c>
      <c r="E40" s="120" t="s">
        <v>84</v>
      </c>
      <c r="F40" s="120" t="s">
        <v>85</v>
      </c>
      <c r="G40" s="559">
        <v>7185505.3899999997</v>
      </c>
      <c r="H40" s="225">
        <f>G40/$G$72</f>
        <v>9.1611613832712144E-3</v>
      </c>
      <c r="I40" s="545">
        <v>6.4000000000000003E-3</v>
      </c>
      <c r="J40" s="234"/>
      <c r="K40" s="429"/>
      <c r="L40" s="126" t="s">
        <v>71</v>
      </c>
      <c r="M40" s="574">
        <v>561811070.22000003</v>
      </c>
      <c r="N40" s="216">
        <f>G40/M40</f>
        <v>1.278989640981304E-2</v>
      </c>
      <c r="O40" s="698" t="s">
        <v>60</v>
      </c>
      <c r="P40" s="662">
        <f>SUM(G40:G42)/G72</f>
        <v>9.2574289571913503E-3</v>
      </c>
      <c r="Q40" s="701">
        <v>0.05</v>
      </c>
      <c r="R40" s="675">
        <v>0.02</v>
      </c>
      <c r="S40" s="657" t="s">
        <v>193</v>
      </c>
      <c r="T40" s="67"/>
      <c r="U40" s="67"/>
      <c r="V40" s="67"/>
      <c r="W40" s="67"/>
      <c r="X40" s="66"/>
      <c r="Y40" s="68"/>
    </row>
    <row r="41" spans="1:25" s="1" customFormat="1" ht="15.75" customHeight="1" x14ac:dyDescent="0.25">
      <c r="A41" s="8"/>
      <c r="B41" s="117" t="s">
        <v>86</v>
      </c>
      <c r="C41" s="105" t="s">
        <v>87</v>
      </c>
      <c r="D41" s="71" t="s">
        <v>88</v>
      </c>
      <c r="E41" s="129" t="s">
        <v>89</v>
      </c>
      <c r="F41" s="129" t="s">
        <v>89</v>
      </c>
      <c r="G41" s="538">
        <v>35398.03</v>
      </c>
      <c r="H41" s="82">
        <f>G41/$G$72</f>
        <v>4.5130724685167333E-5</v>
      </c>
      <c r="I41" s="576">
        <v>-5.7799999999999997E-2</v>
      </c>
      <c r="J41" s="124"/>
      <c r="K41" s="430"/>
      <c r="L41" s="132" t="s">
        <v>71</v>
      </c>
      <c r="M41" s="567">
        <v>825955.52</v>
      </c>
      <c r="N41" s="133">
        <f>G41/M41</f>
        <v>4.2857065717049746E-2</v>
      </c>
      <c r="O41" s="699"/>
      <c r="P41" s="663"/>
      <c r="Q41" s="702"/>
      <c r="R41" s="697"/>
      <c r="S41" s="677"/>
      <c r="T41" s="67"/>
      <c r="U41" s="67"/>
      <c r="V41" s="66"/>
      <c r="W41" s="67"/>
      <c r="X41" s="66"/>
      <c r="Y41" s="68"/>
    </row>
    <row r="42" spans="1:25" s="1" customFormat="1" ht="16.5" thickBot="1" x14ac:dyDescent="0.3">
      <c r="A42" s="8"/>
      <c r="B42" s="192" t="s">
        <v>90</v>
      </c>
      <c r="C42" s="118"/>
      <c r="D42" s="92" t="s">
        <v>91</v>
      </c>
      <c r="E42" s="193" t="s">
        <v>89</v>
      </c>
      <c r="F42" s="193" t="s">
        <v>89</v>
      </c>
      <c r="G42" s="575">
        <v>40108.9</v>
      </c>
      <c r="H42" s="195">
        <f>G42/$G$72</f>
        <v>5.1136849234968954E-5</v>
      </c>
      <c r="I42" s="577">
        <v>-4.24E-2</v>
      </c>
      <c r="J42" s="161"/>
      <c r="K42" s="204"/>
      <c r="L42" s="184" t="s">
        <v>71</v>
      </c>
      <c r="M42" s="578">
        <v>2293510.33</v>
      </c>
      <c r="N42" s="186">
        <f>G42/M42</f>
        <v>1.7487996228035301E-2</v>
      </c>
      <c r="O42" s="700"/>
      <c r="P42" s="664"/>
      <c r="Q42" s="703"/>
      <c r="R42" s="676"/>
      <c r="S42" s="658"/>
      <c r="T42" s="67"/>
      <c r="U42" s="67"/>
      <c r="V42" s="66"/>
      <c r="W42" s="67"/>
      <c r="X42" s="66"/>
      <c r="Y42" s="68"/>
    </row>
    <row r="43" spans="1:25" s="1" customFormat="1" ht="16.5" thickBot="1" x14ac:dyDescent="0.3">
      <c r="A43" s="8"/>
      <c r="B43" s="414" t="s">
        <v>189</v>
      </c>
      <c r="C43" s="406"/>
      <c r="D43" s="415"/>
      <c r="E43" s="413"/>
      <c r="F43" s="413"/>
      <c r="G43" s="366"/>
      <c r="H43" s="260"/>
      <c r="I43" s="401"/>
      <c r="J43" s="260"/>
      <c r="K43" s="183"/>
      <c r="L43" s="398"/>
      <c r="M43" s="185"/>
      <c r="N43" s="44"/>
      <c r="O43" s="392" t="s">
        <v>60</v>
      </c>
      <c r="P43" s="384">
        <v>0</v>
      </c>
      <c r="Q43" s="200">
        <v>0.05</v>
      </c>
      <c r="R43" s="201">
        <v>0.01</v>
      </c>
      <c r="S43" s="631" t="s">
        <v>191</v>
      </c>
      <c r="T43" s="67"/>
      <c r="U43" s="67"/>
      <c r="V43" s="66"/>
      <c r="W43" s="67"/>
      <c r="X43" s="66"/>
      <c r="Y43" s="68"/>
    </row>
    <row r="44" spans="1:25" s="1" customFormat="1" ht="16.5" thickBot="1" x14ac:dyDescent="0.3">
      <c r="A44" s="8"/>
      <c r="B44" s="414" t="s">
        <v>190</v>
      </c>
      <c r="C44" s="406"/>
      <c r="D44" s="415"/>
      <c r="E44" s="413"/>
      <c r="F44" s="413"/>
      <c r="G44" s="366"/>
      <c r="H44" s="260"/>
      <c r="I44" s="401"/>
      <c r="J44" s="260"/>
      <c r="K44" s="183"/>
      <c r="L44" s="398"/>
      <c r="M44" s="185"/>
      <c r="N44" s="260"/>
      <c r="O44" s="392" t="s">
        <v>60</v>
      </c>
      <c r="P44" s="384">
        <v>0</v>
      </c>
      <c r="Q44" s="200">
        <v>0.05</v>
      </c>
      <c r="R44" s="201">
        <v>0</v>
      </c>
      <c r="S44" s="631" t="s">
        <v>192</v>
      </c>
      <c r="T44" s="67"/>
      <c r="U44" s="67"/>
      <c r="V44" s="66"/>
      <c r="W44" s="67"/>
      <c r="X44" s="66"/>
      <c r="Y44" s="68"/>
    </row>
    <row r="45" spans="1:25" s="54" customFormat="1" ht="16.5" thickBot="1" x14ac:dyDescent="0.25">
      <c r="A45" s="40"/>
      <c r="B45" s="402" t="s">
        <v>194</v>
      </c>
      <c r="C45" s="403"/>
      <c r="D45" s="404"/>
      <c r="E45" s="404"/>
      <c r="F45" s="404"/>
      <c r="G45" s="43">
        <f>SUM(G46:G47)</f>
        <v>59699030.150000006</v>
      </c>
      <c r="H45" s="44">
        <f t="shared" ref="H45:H56" si="4">G45/$G$72</f>
        <v>7.6113289176577184E-2</v>
      </c>
      <c r="I45" s="98"/>
      <c r="J45" s="45"/>
      <c r="K45" s="45"/>
      <c r="L45" s="45"/>
      <c r="M45" s="148"/>
      <c r="N45" s="101"/>
      <c r="O45" s="42"/>
      <c r="P45" s="205">
        <f>SUM((G4+G12+G23+G25+G39)/G72)*100</f>
        <v>79.617035267200777</v>
      </c>
      <c r="Q45" s="50"/>
      <c r="R45" s="633"/>
      <c r="S45" s="152"/>
      <c r="T45" s="53"/>
      <c r="U45" s="53"/>
      <c r="V45" s="53"/>
      <c r="W45" s="53"/>
      <c r="X45" s="53"/>
      <c r="Y45" s="53"/>
    </row>
    <row r="46" spans="1:25" s="1" customFormat="1" ht="15.75" x14ac:dyDescent="0.25">
      <c r="A46" s="8"/>
      <c r="B46" s="206" t="s">
        <v>55</v>
      </c>
      <c r="C46" s="207"/>
      <c r="D46" s="208" t="s">
        <v>92</v>
      </c>
      <c r="E46" s="209" t="s">
        <v>93</v>
      </c>
      <c r="F46" s="209" t="s">
        <v>94</v>
      </c>
      <c r="G46" s="571">
        <v>36744289.950000003</v>
      </c>
      <c r="H46" s="82">
        <f t="shared" si="4"/>
        <v>4.6847139049416342E-2</v>
      </c>
      <c r="I46" s="551">
        <v>7.0999999999999994E-2</v>
      </c>
      <c r="J46" s="112"/>
      <c r="K46" s="125"/>
      <c r="L46" s="145" t="s">
        <v>95</v>
      </c>
      <c r="M46" s="572">
        <v>721542576.35000002</v>
      </c>
      <c r="N46" s="434">
        <f>G46/M46</f>
        <v>5.0924631691001393E-2</v>
      </c>
      <c r="O46" s="711" t="s">
        <v>96</v>
      </c>
      <c r="P46" s="680">
        <f>(SUM(G46:G47)/G72)</f>
        <v>7.6113289176577184E-2</v>
      </c>
      <c r="Q46" s="655">
        <v>0.3</v>
      </c>
      <c r="R46" s="655">
        <v>0.15</v>
      </c>
      <c r="S46" s="666" t="s">
        <v>196</v>
      </c>
      <c r="T46" s="67"/>
      <c r="U46" s="67"/>
      <c r="V46" s="66"/>
      <c r="W46" s="67"/>
      <c r="X46" s="67"/>
      <c r="Y46" s="212"/>
    </row>
    <row r="47" spans="1:25" s="1" customFormat="1" ht="16.5" thickBot="1" x14ac:dyDescent="0.3">
      <c r="A47" s="8"/>
      <c r="B47" s="245" t="s">
        <v>116</v>
      </c>
      <c r="C47" s="92" t="s">
        <v>100</v>
      </c>
      <c r="D47" s="549" t="s">
        <v>235</v>
      </c>
      <c r="E47" s="120" t="s">
        <v>39</v>
      </c>
      <c r="F47" s="120" t="s">
        <v>94</v>
      </c>
      <c r="G47" s="525">
        <v>22954740.199999999</v>
      </c>
      <c r="H47" s="240">
        <f t="shared" si="4"/>
        <v>2.9266150127160832E-2</v>
      </c>
      <c r="I47" s="555">
        <v>1.7100000000000001E-2</v>
      </c>
      <c r="J47" s="171"/>
      <c r="K47" s="552"/>
      <c r="L47" s="248" t="s">
        <v>236</v>
      </c>
      <c r="M47" s="556">
        <v>367763007.69</v>
      </c>
      <c r="N47" s="553">
        <f t="shared" ref="N47" si="5">G47/M47</f>
        <v>6.2417208147670288E-2</v>
      </c>
      <c r="O47" s="713"/>
      <c r="P47" s="714"/>
      <c r="Q47" s="656"/>
      <c r="R47" s="656"/>
      <c r="S47" s="668"/>
      <c r="T47" s="554"/>
      <c r="U47" s="67"/>
      <c r="V47" s="66"/>
      <c r="W47" s="67"/>
      <c r="X47" s="67"/>
      <c r="Y47" s="212"/>
    </row>
    <row r="48" spans="1:25" s="1" customFormat="1" ht="16.5" thickBot="1" x14ac:dyDescent="0.3">
      <c r="A48" s="217"/>
      <c r="B48" s="402" t="s">
        <v>199</v>
      </c>
      <c r="C48" s="403"/>
      <c r="D48" s="404"/>
      <c r="E48" s="404"/>
      <c r="F48" s="404"/>
      <c r="G48" s="43">
        <f>SUM(G49)</f>
        <v>0</v>
      </c>
      <c r="H48" s="219">
        <f t="shared" si="4"/>
        <v>0</v>
      </c>
      <c r="I48" s="98"/>
      <c r="J48" s="45"/>
      <c r="K48" s="45"/>
      <c r="L48" s="45"/>
      <c r="M48" s="148"/>
      <c r="N48" s="149"/>
      <c r="O48" s="42"/>
      <c r="P48" s="191"/>
      <c r="Q48" s="632"/>
      <c r="R48" s="254"/>
      <c r="S48" s="220"/>
      <c r="T48" s="67"/>
      <c r="U48" s="67"/>
      <c r="V48" s="66"/>
      <c r="W48" s="67"/>
      <c r="X48" s="67"/>
      <c r="Y48" s="212"/>
    </row>
    <row r="49" spans="1:25" s="1" customFormat="1" ht="16.5" thickBot="1" x14ac:dyDescent="0.3">
      <c r="A49" s="217"/>
      <c r="B49" s="221" t="s">
        <v>50</v>
      </c>
      <c r="C49" s="118"/>
      <c r="D49" s="222" t="s">
        <v>101</v>
      </c>
      <c r="E49" s="223" t="s">
        <v>39</v>
      </c>
      <c r="F49" s="129" t="s">
        <v>49</v>
      </c>
      <c r="G49" s="224">
        <v>0</v>
      </c>
      <c r="H49" s="225">
        <f t="shared" si="4"/>
        <v>0</v>
      </c>
      <c r="I49" s="74">
        <v>0</v>
      </c>
      <c r="J49" s="171"/>
      <c r="K49" s="226"/>
      <c r="L49" s="145" t="s">
        <v>95</v>
      </c>
      <c r="M49" s="214">
        <v>0</v>
      </c>
      <c r="N49" s="216">
        <v>0</v>
      </c>
      <c r="O49" s="227" t="s">
        <v>96</v>
      </c>
      <c r="P49" s="228">
        <f>G49/G72</f>
        <v>0</v>
      </c>
      <c r="Q49" s="229">
        <v>0.3</v>
      </c>
      <c r="R49" s="230">
        <v>0.02</v>
      </c>
      <c r="S49" s="631" t="s">
        <v>195</v>
      </c>
      <c r="T49" s="67"/>
      <c r="U49" s="67"/>
      <c r="V49" s="66"/>
      <c r="W49" s="67"/>
      <c r="X49" s="67"/>
      <c r="Y49" s="212"/>
    </row>
    <row r="50" spans="1:25" s="54" customFormat="1" ht="16.5" thickBot="1" x14ac:dyDescent="0.25">
      <c r="A50" s="40"/>
      <c r="B50" s="402" t="s">
        <v>197</v>
      </c>
      <c r="C50" s="403"/>
      <c r="D50" s="404"/>
      <c r="E50" s="404"/>
      <c r="F50" s="404"/>
      <c r="G50" s="43">
        <f>SUM(G51:G56)</f>
        <v>67345877.659999996</v>
      </c>
      <c r="H50" s="44">
        <f t="shared" si="4"/>
        <v>8.5862638778328088E-2</v>
      </c>
      <c r="I50" s="98"/>
      <c r="J50" s="29"/>
      <c r="K50" s="45"/>
      <c r="L50" s="45"/>
      <c r="M50" s="148"/>
      <c r="N50" s="149"/>
      <c r="O50" s="41"/>
      <c r="P50" s="49"/>
      <c r="Q50" s="50"/>
      <c r="R50" s="49"/>
      <c r="S50" s="516"/>
      <c r="T50" s="53"/>
      <c r="U50" s="53"/>
      <c r="V50" s="53"/>
      <c r="W50" s="53"/>
      <c r="X50" s="53"/>
      <c r="Y50" s="53"/>
    </row>
    <row r="51" spans="1:25" s="1" customFormat="1" ht="15.75" x14ac:dyDescent="0.25">
      <c r="A51" s="8"/>
      <c r="B51" s="55" t="s">
        <v>107</v>
      </c>
      <c r="C51" s="231"/>
      <c r="D51" s="71" t="s">
        <v>108</v>
      </c>
      <c r="E51" s="140" t="s">
        <v>39</v>
      </c>
      <c r="F51" s="140" t="s">
        <v>49</v>
      </c>
      <c r="G51" s="538">
        <v>9328025.0399999991</v>
      </c>
      <c r="H51" s="82">
        <f t="shared" si="4"/>
        <v>1.189276719457515E-2</v>
      </c>
      <c r="I51" s="539">
        <v>7.9500000000000001E-2</v>
      </c>
      <c r="J51" s="211"/>
      <c r="K51" s="178"/>
      <c r="L51" s="126" t="s">
        <v>95</v>
      </c>
      <c r="M51" s="527">
        <v>210313583.22999999</v>
      </c>
      <c r="N51" s="82">
        <f t="shared" ref="N51:N56" si="6">G51/M51</f>
        <v>4.4352936680265791E-2</v>
      </c>
      <c r="O51" s="659" t="s">
        <v>96</v>
      </c>
      <c r="P51" s="662">
        <f>(SUM(G51:G56)/G72)</f>
        <v>8.5862638778328088E-2</v>
      </c>
      <c r="Q51" s="655">
        <v>0.2</v>
      </c>
      <c r="R51" s="655">
        <v>0.15</v>
      </c>
      <c r="S51" s="666" t="s">
        <v>233</v>
      </c>
      <c r="T51" s="514"/>
      <c r="U51" s="67"/>
      <c r="V51" s="66"/>
      <c r="W51" s="67"/>
      <c r="X51" s="67"/>
      <c r="Y51" s="212"/>
    </row>
    <row r="52" spans="1:25" s="1" customFormat="1" ht="15.75" x14ac:dyDescent="0.25">
      <c r="A52" s="8"/>
      <c r="B52" s="55" t="s">
        <v>107</v>
      </c>
      <c r="C52" s="231"/>
      <c r="D52" s="71" t="s">
        <v>252</v>
      </c>
      <c r="E52" s="140" t="s">
        <v>253</v>
      </c>
      <c r="F52" s="140" t="s">
        <v>254</v>
      </c>
      <c r="G52" s="538">
        <v>6360412.2300000004</v>
      </c>
      <c r="H52" s="82">
        <f t="shared" si="4"/>
        <v>8.10920871122775E-3</v>
      </c>
      <c r="I52" s="539">
        <v>6.2300000000000001E-2</v>
      </c>
      <c r="J52" s="211"/>
      <c r="K52" s="178"/>
      <c r="L52" s="126" t="s">
        <v>95</v>
      </c>
      <c r="M52" s="527">
        <v>833064712.66999996</v>
      </c>
      <c r="N52" s="82">
        <f t="shared" si="6"/>
        <v>7.6349557642582996E-3</v>
      </c>
      <c r="O52" s="660"/>
      <c r="P52" s="663"/>
      <c r="Q52" s="665"/>
      <c r="R52" s="665"/>
      <c r="S52" s="667"/>
      <c r="T52" s="514"/>
      <c r="U52" s="67"/>
      <c r="V52" s="66"/>
      <c r="W52" s="67"/>
      <c r="X52" s="67"/>
      <c r="Y52" s="212"/>
    </row>
    <row r="53" spans="1:25" s="1" customFormat="1" ht="19.5" thickBot="1" x14ac:dyDescent="0.3">
      <c r="A53" s="8"/>
      <c r="B53" s="69" t="s">
        <v>113</v>
      </c>
      <c r="C53" s="70" t="s">
        <v>114</v>
      </c>
      <c r="D53" s="87" t="s">
        <v>115</v>
      </c>
      <c r="E53" s="223" t="s">
        <v>39</v>
      </c>
      <c r="F53" s="223" t="s">
        <v>49</v>
      </c>
      <c r="G53" s="529">
        <v>22560688.949999999</v>
      </c>
      <c r="H53" s="73">
        <f t="shared" si="4"/>
        <v>2.8763754415433482E-2</v>
      </c>
      <c r="I53" s="531">
        <v>6.5799999999999997E-2</v>
      </c>
      <c r="J53" s="211"/>
      <c r="K53" s="433"/>
      <c r="L53" s="126" t="s">
        <v>95</v>
      </c>
      <c r="M53" s="533">
        <v>223499749.59</v>
      </c>
      <c r="N53" s="435">
        <f t="shared" si="6"/>
        <v>0.10094279296234802</v>
      </c>
      <c r="O53" s="660"/>
      <c r="P53" s="663"/>
      <c r="Q53" s="665"/>
      <c r="R53" s="665"/>
      <c r="S53" s="667"/>
      <c r="T53" s="514"/>
      <c r="U53" s="67"/>
      <c r="V53" s="66"/>
      <c r="W53" s="67"/>
      <c r="X53" s="67"/>
      <c r="Y53" s="212"/>
    </row>
    <row r="54" spans="1:25" s="1" customFormat="1" ht="15.75" x14ac:dyDescent="0.25">
      <c r="A54" s="8"/>
      <c r="B54" s="55" t="s">
        <v>75</v>
      </c>
      <c r="C54" s="231"/>
      <c r="D54" s="71" t="s">
        <v>103</v>
      </c>
      <c r="E54" s="140" t="s">
        <v>104</v>
      </c>
      <c r="F54" s="432" t="s">
        <v>105</v>
      </c>
      <c r="G54" s="538">
        <v>19966932.48</v>
      </c>
      <c r="H54" s="73">
        <f t="shared" si="4"/>
        <v>2.5456844139693804E-2</v>
      </c>
      <c r="I54" s="539">
        <v>1.9599999999999999E-2</v>
      </c>
      <c r="J54" s="177"/>
      <c r="K54" s="178"/>
      <c r="L54" s="132" t="s">
        <v>95</v>
      </c>
      <c r="M54" s="542">
        <v>610160821.70000005</v>
      </c>
      <c r="N54" s="435">
        <f t="shared" si="6"/>
        <v>3.272404875876677E-2</v>
      </c>
      <c r="O54" s="660"/>
      <c r="P54" s="663"/>
      <c r="Q54" s="665"/>
      <c r="R54" s="665"/>
      <c r="S54" s="667"/>
      <c r="T54" s="514"/>
      <c r="U54" s="67"/>
      <c r="V54" s="66"/>
      <c r="W54" s="67"/>
      <c r="X54" s="67"/>
      <c r="Y54" s="212"/>
    </row>
    <row r="55" spans="1:25" s="1" customFormat="1" ht="15.75" x14ac:dyDescent="0.25">
      <c r="A55" s="8"/>
      <c r="B55" s="55" t="s">
        <v>75</v>
      </c>
      <c r="C55" s="231"/>
      <c r="D55" s="71" t="s">
        <v>106</v>
      </c>
      <c r="E55" s="140" t="s">
        <v>39</v>
      </c>
      <c r="F55" s="140" t="s">
        <v>49</v>
      </c>
      <c r="G55" s="538">
        <v>2698216.91</v>
      </c>
      <c r="H55" s="550">
        <f t="shared" si="4"/>
        <v>3.4400921324173389E-3</v>
      </c>
      <c r="I55" s="551">
        <v>7.3899999999999993E-2</v>
      </c>
      <c r="J55" s="234"/>
      <c r="K55" s="235"/>
      <c r="L55" s="236" t="s">
        <v>95</v>
      </c>
      <c r="M55" s="533">
        <v>531813980.95999998</v>
      </c>
      <c r="N55" s="82">
        <f t="shared" si="6"/>
        <v>5.0736103348192054E-3</v>
      </c>
      <c r="O55" s="660"/>
      <c r="P55" s="663"/>
      <c r="Q55" s="665"/>
      <c r="R55" s="665"/>
      <c r="S55" s="667"/>
      <c r="T55" s="514"/>
      <c r="U55" s="67"/>
      <c r="V55" s="66"/>
      <c r="W55" s="67"/>
      <c r="X55" s="67"/>
      <c r="Y55" s="212"/>
    </row>
    <row r="56" spans="1:25" s="1" customFormat="1" ht="16.5" thickBot="1" x14ac:dyDescent="0.3">
      <c r="A56" s="8"/>
      <c r="B56" s="206" t="s">
        <v>50</v>
      </c>
      <c r="C56" s="118"/>
      <c r="D56" s="215" t="s">
        <v>109</v>
      </c>
      <c r="E56" s="120" t="s">
        <v>110</v>
      </c>
      <c r="F56" s="120" t="s">
        <v>111</v>
      </c>
      <c r="G56" s="525">
        <v>6431602.0499999998</v>
      </c>
      <c r="H56" s="73">
        <f t="shared" si="4"/>
        <v>8.1999721849805723E-3</v>
      </c>
      <c r="I56" s="526">
        <v>4.9200000000000001E-2</v>
      </c>
      <c r="J56" s="130"/>
      <c r="K56" s="232"/>
      <c r="L56" s="126" t="s">
        <v>112</v>
      </c>
      <c r="M56" s="527">
        <v>396763645.16000003</v>
      </c>
      <c r="N56" s="240">
        <f t="shared" si="6"/>
        <v>1.6210159696981245E-2</v>
      </c>
      <c r="O56" s="661"/>
      <c r="P56" s="664"/>
      <c r="Q56" s="656"/>
      <c r="R56" s="656"/>
      <c r="S56" s="668"/>
      <c r="T56" s="515"/>
      <c r="U56" s="67"/>
      <c r="V56" s="66"/>
      <c r="W56" s="67"/>
      <c r="X56" s="67"/>
      <c r="Y56" s="212"/>
    </row>
    <row r="57" spans="1:25" s="1" customFormat="1" ht="16.5" thickBot="1" x14ac:dyDescent="0.3">
      <c r="A57" s="8"/>
      <c r="B57" s="418" t="s">
        <v>200</v>
      </c>
      <c r="C57" s="406"/>
      <c r="D57" s="416"/>
      <c r="E57" s="410"/>
      <c r="F57" s="410"/>
      <c r="G57" s="426"/>
      <c r="H57" s="44"/>
      <c r="I57" s="44"/>
      <c r="J57" s="44"/>
      <c r="K57" s="378"/>
      <c r="L57" s="513"/>
      <c r="M57" s="507"/>
      <c r="N57" s="44"/>
      <c r="O57" s="369" t="s">
        <v>96</v>
      </c>
      <c r="P57" s="362">
        <v>0</v>
      </c>
      <c r="Q57" s="634">
        <v>0.2</v>
      </c>
      <c r="R57" s="630">
        <v>0</v>
      </c>
      <c r="S57" s="631" t="s">
        <v>198</v>
      </c>
      <c r="T57" s="67"/>
      <c r="U57" s="67"/>
      <c r="V57" s="66"/>
      <c r="W57" s="67"/>
      <c r="X57" s="67"/>
      <c r="Y57" s="212"/>
    </row>
    <row r="58" spans="1:25" s="54" customFormat="1" ht="16.5" thickBot="1" x14ac:dyDescent="0.25">
      <c r="A58" s="40"/>
      <c r="B58" s="418" t="s">
        <v>201</v>
      </c>
      <c r="C58" s="403"/>
      <c r="D58" s="404"/>
      <c r="E58" s="404"/>
      <c r="F58" s="404"/>
      <c r="G58" s="43">
        <f>G59+G60</f>
        <v>3637931.19</v>
      </c>
      <c r="H58" s="44">
        <f>G58/$G$72</f>
        <v>4.6381810219233433E-3</v>
      </c>
      <c r="I58" s="244"/>
      <c r="J58" s="45"/>
      <c r="K58" s="45"/>
      <c r="L58" s="45"/>
      <c r="M58" s="148"/>
      <c r="N58" s="149"/>
      <c r="O58" s="190"/>
      <c r="P58" s="191"/>
      <c r="Q58" s="632"/>
      <c r="R58" s="633"/>
      <c r="S58" s="220"/>
      <c r="T58" s="53"/>
      <c r="U58" s="53"/>
      <c r="V58" s="53"/>
      <c r="W58" s="53"/>
      <c r="X58" s="53"/>
      <c r="Y58" s="53"/>
    </row>
    <row r="59" spans="1:25" s="1" customFormat="1" ht="16.5" thickBot="1" x14ac:dyDescent="0.3">
      <c r="A59" s="8"/>
      <c r="B59" s="245" t="s">
        <v>116</v>
      </c>
      <c r="C59" s="92" t="s">
        <v>100</v>
      </c>
      <c r="D59" s="246" t="s">
        <v>117</v>
      </c>
      <c r="E59" s="120" t="s">
        <v>38</v>
      </c>
      <c r="F59" s="120" t="s">
        <v>39</v>
      </c>
      <c r="G59" s="525">
        <v>3637931.19</v>
      </c>
      <c r="H59" s="233">
        <f>G59/$G$72</f>
        <v>4.6381810219233433E-3</v>
      </c>
      <c r="I59" s="557">
        <v>3.85E-2</v>
      </c>
      <c r="J59" s="171"/>
      <c r="K59" s="247"/>
      <c r="L59" s="248" t="s">
        <v>118</v>
      </c>
      <c r="M59" s="558">
        <v>1054214856.05</v>
      </c>
      <c r="N59" s="156">
        <f t="shared" ref="N59" si="7">G59/M59</f>
        <v>3.4508441700687414E-3</v>
      </c>
      <c r="O59" s="669" t="s">
        <v>102</v>
      </c>
      <c r="P59" s="671">
        <f>SUM(G59:G60)/G72</f>
        <v>4.6381810219233433E-3</v>
      </c>
      <c r="Q59" s="673">
        <v>0.1</v>
      </c>
      <c r="R59" s="675">
        <v>0.03</v>
      </c>
      <c r="S59" s="666" t="s">
        <v>204</v>
      </c>
      <c r="T59" s="67"/>
      <c r="U59" s="67"/>
      <c r="V59" s="66"/>
      <c r="W59" s="67"/>
      <c r="X59" s="67"/>
      <c r="Y59" s="97"/>
    </row>
    <row r="60" spans="1:25" s="1" customFormat="1" ht="16.5" thickBot="1" x14ac:dyDescent="0.3">
      <c r="A60" s="8"/>
      <c r="B60" s="192" t="s">
        <v>107</v>
      </c>
      <c r="C60" s="231"/>
      <c r="D60" s="92" t="s">
        <v>119</v>
      </c>
      <c r="E60" s="140" t="s">
        <v>120</v>
      </c>
      <c r="F60" s="140" t="s">
        <v>120</v>
      </c>
      <c r="G60" s="94">
        <v>0</v>
      </c>
      <c r="H60" s="242">
        <f t="shared" ref="H60:H70" si="8">G60/$G$72</f>
        <v>0</v>
      </c>
      <c r="I60" s="251">
        <v>0</v>
      </c>
      <c r="J60" s="161"/>
      <c r="K60" s="204"/>
      <c r="L60" s="126" t="s">
        <v>95</v>
      </c>
      <c r="M60" s="252">
        <v>0</v>
      </c>
      <c r="N60" s="156">
        <v>0</v>
      </c>
      <c r="O60" s="670"/>
      <c r="P60" s="672"/>
      <c r="Q60" s="674"/>
      <c r="R60" s="676"/>
      <c r="S60" s="668"/>
      <c r="T60" s="67"/>
      <c r="U60" s="67"/>
      <c r="V60" s="66"/>
      <c r="W60" s="67"/>
      <c r="X60" s="67"/>
      <c r="Y60" s="97"/>
    </row>
    <row r="61" spans="1:25" s="1" customFormat="1" ht="16.5" thickBot="1" x14ac:dyDescent="0.3">
      <c r="A61" s="8"/>
      <c r="B61" s="418" t="s">
        <v>202</v>
      </c>
      <c r="C61" s="403"/>
      <c r="D61" s="404"/>
      <c r="E61" s="404"/>
      <c r="F61" s="404"/>
      <c r="G61" s="43">
        <f>SUM(G62:G65)</f>
        <v>15844593.9</v>
      </c>
      <c r="H61" s="44">
        <f t="shared" si="8"/>
        <v>2.0201067829175291E-2</v>
      </c>
      <c r="I61" s="98"/>
      <c r="J61" s="99"/>
      <c r="K61" s="99"/>
      <c r="L61" s="45"/>
      <c r="M61" s="100"/>
      <c r="N61" s="149"/>
      <c r="O61" s="42"/>
      <c r="P61" s="632"/>
      <c r="Q61" s="50"/>
      <c r="R61" s="151"/>
      <c r="S61" s="52"/>
      <c r="T61" s="67"/>
      <c r="U61" s="67"/>
      <c r="V61" s="66"/>
      <c r="W61" s="67"/>
      <c r="X61" s="67"/>
      <c r="Y61" s="97"/>
    </row>
    <row r="62" spans="1:25" s="1" customFormat="1" ht="15.75" x14ac:dyDescent="0.25">
      <c r="A62" s="8"/>
      <c r="B62" s="173" t="s">
        <v>247</v>
      </c>
      <c r="C62" s="261"/>
      <c r="D62" s="262" t="s">
        <v>124</v>
      </c>
      <c r="E62" s="108" t="s">
        <v>89</v>
      </c>
      <c r="F62" s="108" t="s">
        <v>89</v>
      </c>
      <c r="G62" s="537">
        <v>14025497.640000001</v>
      </c>
      <c r="H62" s="258">
        <f t="shared" si="8"/>
        <v>1.7881810726848479E-2</v>
      </c>
      <c r="I62" s="536">
        <v>-5.9999999999999995E-4</v>
      </c>
      <c r="J62" s="264"/>
      <c r="K62" s="265"/>
      <c r="L62" s="628" t="s">
        <v>80</v>
      </c>
      <c r="M62" s="535">
        <v>99523165.969999999</v>
      </c>
      <c r="N62" s="534">
        <f>G62/M62</f>
        <v>0.14092696412238143</v>
      </c>
      <c r="O62" s="659" t="s">
        <v>125</v>
      </c>
      <c r="P62" s="662">
        <f>SUM(G62:G65)/G72</f>
        <v>2.0201067829175291E-2</v>
      </c>
      <c r="Q62" s="708">
        <v>0.05</v>
      </c>
      <c r="R62" s="655">
        <v>0.03</v>
      </c>
      <c r="S62" s="657" t="s">
        <v>205</v>
      </c>
      <c r="T62" s="67"/>
      <c r="U62" s="67"/>
      <c r="V62" s="66"/>
      <c r="W62" s="67"/>
      <c r="X62" s="67"/>
      <c r="Y62" s="97"/>
    </row>
    <row r="63" spans="1:25" s="1" customFormat="1" ht="15.75" x14ac:dyDescent="0.25">
      <c r="A63" s="8"/>
      <c r="B63" s="611" t="s">
        <v>249</v>
      </c>
      <c r="C63" s="261"/>
      <c r="D63" s="626" t="s">
        <v>248</v>
      </c>
      <c r="E63" s="120" t="s">
        <v>89</v>
      </c>
      <c r="F63" s="120" t="s">
        <v>89</v>
      </c>
      <c r="G63" s="589">
        <v>144668.69</v>
      </c>
      <c r="H63" s="130">
        <f t="shared" si="8"/>
        <v>1.8444537221291187E-4</v>
      </c>
      <c r="I63" s="539">
        <v>-0.1024</v>
      </c>
      <c r="J63" s="627"/>
      <c r="K63" s="270"/>
      <c r="L63" s="261" t="s">
        <v>80</v>
      </c>
      <c r="M63" s="629">
        <v>5768663.8200000003</v>
      </c>
      <c r="N63" s="128">
        <f>G63/M63</f>
        <v>2.5078370748254142E-2</v>
      </c>
      <c r="O63" s="660"/>
      <c r="P63" s="663"/>
      <c r="Q63" s="709"/>
      <c r="R63" s="665"/>
      <c r="S63" s="677"/>
      <c r="T63" s="67"/>
      <c r="U63" s="67"/>
      <c r="V63" s="66"/>
      <c r="W63" s="67"/>
      <c r="X63" s="67"/>
      <c r="Y63" s="97"/>
    </row>
    <row r="64" spans="1:25" s="1" customFormat="1" ht="15.75" x14ac:dyDescent="0.25">
      <c r="A64" s="8"/>
      <c r="B64" s="266" t="s">
        <v>126</v>
      </c>
      <c r="C64" s="267"/>
      <c r="D64" s="268" t="s">
        <v>127</v>
      </c>
      <c r="E64" s="209" t="s">
        <v>89</v>
      </c>
      <c r="F64" s="209" t="s">
        <v>89</v>
      </c>
      <c r="G64" s="538">
        <v>402707.48</v>
      </c>
      <c r="H64" s="82">
        <f t="shared" si="8"/>
        <v>5.1343197371541663E-4</v>
      </c>
      <c r="I64" s="530">
        <v>-1.5E-3</v>
      </c>
      <c r="J64" s="269"/>
      <c r="K64" s="270"/>
      <c r="L64" s="271" t="s">
        <v>80</v>
      </c>
      <c r="M64" s="547">
        <v>201005537.55000001</v>
      </c>
      <c r="N64" s="128">
        <f>G64/M64</f>
        <v>2.0034646055451417E-3</v>
      </c>
      <c r="O64" s="660"/>
      <c r="P64" s="663"/>
      <c r="Q64" s="709"/>
      <c r="R64" s="665"/>
      <c r="S64" s="677"/>
      <c r="T64" s="67"/>
      <c r="U64" s="67"/>
      <c r="V64" s="66"/>
      <c r="W64" s="67"/>
      <c r="X64" s="67"/>
      <c r="Y64" s="97"/>
    </row>
    <row r="65" spans="1:25" s="1" customFormat="1" ht="16.5" thickBot="1" x14ac:dyDescent="0.3">
      <c r="A65" s="8"/>
      <c r="B65" s="272" t="s">
        <v>128</v>
      </c>
      <c r="C65" s="261"/>
      <c r="D65" s="273" t="s">
        <v>129</v>
      </c>
      <c r="E65" s="181" t="s">
        <v>89</v>
      </c>
      <c r="F65" s="181" t="s">
        <v>89</v>
      </c>
      <c r="G65" s="560">
        <v>1271720.0900000001</v>
      </c>
      <c r="H65" s="95">
        <f t="shared" si="8"/>
        <v>1.621379756398484E-3</v>
      </c>
      <c r="I65" s="561">
        <v>0.43159999999999998</v>
      </c>
      <c r="J65" s="274"/>
      <c r="K65" s="275"/>
      <c r="L65" s="276" t="s">
        <v>80</v>
      </c>
      <c r="M65" s="547">
        <v>232259984.24000001</v>
      </c>
      <c r="N65" s="199">
        <f>G65/M65</f>
        <v>5.4754162416798414E-3</v>
      </c>
      <c r="O65" s="661"/>
      <c r="P65" s="664"/>
      <c r="Q65" s="710"/>
      <c r="R65" s="656"/>
      <c r="S65" s="658"/>
      <c r="T65" s="67"/>
      <c r="U65" s="67"/>
      <c r="V65" s="66"/>
      <c r="W65" s="67"/>
      <c r="X65" s="67"/>
      <c r="Y65" s="97"/>
    </row>
    <row r="66" spans="1:25" s="54" customFormat="1" ht="16.5" thickBot="1" x14ac:dyDescent="0.25">
      <c r="A66" s="40"/>
      <c r="B66" s="418" t="s">
        <v>203</v>
      </c>
      <c r="C66" s="403"/>
      <c r="D66" s="404"/>
      <c r="E66" s="404"/>
      <c r="F66" s="404"/>
      <c r="G66" s="43">
        <f>SUM(G67:G68)</f>
        <v>13340494.949999999</v>
      </c>
      <c r="H66" s="44">
        <f t="shared" si="8"/>
        <v>1.7008466424609368E-2</v>
      </c>
      <c r="I66" s="98"/>
      <c r="J66" s="99"/>
      <c r="K66" s="45"/>
      <c r="L66" s="45"/>
      <c r="M66" s="148"/>
      <c r="N66" s="149"/>
      <c r="O66" s="42"/>
      <c r="P66" s="632"/>
      <c r="Q66" s="253"/>
      <c r="R66" s="254"/>
      <c r="S66" s="255"/>
      <c r="T66" s="53"/>
      <c r="U66" s="53"/>
      <c r="V66" s="53"/>
      <c r="W66" s="53"/>
      <c r="X66" s="53"/>
      <c r="Y66" s="53"/>
    </row>
    <row r="67" spans="1:25" s="54" customFormat="1" ht="16.5" customHeight="1" x14ac:dyDescent="0.25">
      <c r="A67" s="256"/>
      <c r="B67" s="104" t="s">
        <v>164</v>
      </c>
      <c r="C67" s="105"/>
      <c r="D67" s="153" t="s">
        <v>165</v>
      </c>
      <c r="E67" s="108" t="s">
        <v>89</v>
      </c>
      <c r="F67" s="108" t="s">
        <v>89</v>
      </c>
      <c r="G67" s="537">
        <v>4150000</v>
      </c>
      <c r="H67" s="258">
        <f t="shared" si="8"/>
        <v>5.2910432428992359E-3</v>
      </c>
      <c r="I67" s="564">
        <v>-0.17</v>
      </c>
      <c r="J67" s="259"/>
      <c r="K67" s="113"/>
      <c r="L67" s="114" t="s">
        <v>71</v>
      </c>
      <c r="M67" s="591">
        <v>234208431.75</v>
      </c>
      <c r="N67" s="156">
        <f t="shared" ref="N67" si="9">G67/M67</f>
        <v>1.7719259588526749E-2</v>
      </c>
      <c r="O67" s="698" t="s">
        <v>207</v>
      </c>
      <c r="P67" s="662">
        <f>SUM(G67:G68)/G72</f>
        <v>1.7008466424609368E-2</v>
      </c>
      <c r="Q67" s="655">
        <v>0.05</v>
      </c>
      <c r="R67" s="655">
        <v>0.03</v>
      </c>
      <c r="S67" s="657" t="s">
        <v>206</v>
      </c>
      <c r="T67" s="53"/>
      <c r="U67" s="53"/>
      <c r="V67" s="53"/>
      <c r="W67" s="53"/>
      <c r="X67" s="53"/>
      <c r="Y67" s="53"/>
    </row>
    <row r="68" spans="1:25" s="1" customFormat="1" ht="16.5" thickBot="1" x14ac:dyDescent="0.3">
      <c r="A68" s="8"/>
      <c r="B68" s="192" t="s">
        <v>121</v>
      </c>
      <c r="C68" s="118"/>
      <c r="D68" s="92" t="s">
        <v>122</v>
      </c>
      <c r="E68" s="193" t="s">
        <v>89</v>
      </c>
      <c r="F68" s="193" t="s">
        <v>89</v>
      </c>
      <c r="G68" s="560">
        <v>9190494.9499999993</v>
      </c>
      <c r="H68" s="260">
        <f t="shared" si="8"/>
        <v>1.1717423181710132E-2</v>
      </c>
      <c r="I68" s="561">
        <v>4.5900000000000003E-2</v>
      </c>
      <c r="J68" s="161"/>
      <c r="K68" s="243"/>
      <c r="L68" s="184" t="s">
        <v>71</v>
      </c>
      <c r="M68" s="578">
        <v>140464366.86000001</v>
      </c>
      <c r="N68" s="524">
        <f>G68/M68</f>
        <v>6.5429369422638772E-2</v>
      </c>
      <c r="O68" s="700"/>
      <c r="P68" s="664"/>
      <c r="Q68" s="656"/>
      <c r="R68" s="656"/>
      <c r="S68" s="658"/>
      <c r="T68" s="67"/>
      <c r="U68" s="67"/>
      <c r="V68" s="66"/>
      <c r="W68" s="67"/>
      <c r="X68" s="66"/>
      <c r="Y68" s="68"/>
    </row>
    <row r="69" spans="1:25" s="1" customFormat="1" ht="12" customHeight="1" thickBot="1" x14ac:dyDescent="0.3">
      <c r="A69" s="217"/>
      <c r="B69" s="218" t="s">
        <v>130</v>
      </c>
      <c r="C69" s="41"/>
      <c r="D69" s="42"/>
      <c r="E69" s="277"/>
      <c r="F69" s="277"/>
      <c r="G69" s="278">
        <f>SUM(G70:G71)</f>
        <v>4709.2800000000007</v>
      </c>
      <c r="H69" s="279">
        <f t="shared" si="8"/>
        <v>6.0040973790169921E-6</v>
      </c>
      <c r="I69" s="280"/>
      <c r="J69" s="281"/>
      <c r="K69" s="281"/>
      <c r="L69" s="281"/>
      <c r="M69" s="282"/>
      <c r="N69" s="149"/>
      <c r="O69" s="283"/>
      <c r="P69" s="284">
        <f>SUM((G45+G48+G50+G58+G66)/G72)*100</f>
        <v>18.362257540143798</v>
      </c>
      <c r="Q69" s="285"/>
      <c r="R69" s="286">
        <f>SUM(P45+P69+P70+P71)/100</f>
        <v>0.97979298811441951</v>
      </c>
      <c r="S69" s="52"/>
      <c r="T69" s="261"/>
      <c r="U69" s="261"/>
      <c r="V69" s="261"/>
      <c r="W69" s="261"/>
      <c r="X69" s="261"/>
    </row>
    <row r="70" spans="1:25" s="1" customFormat="1" ht="15.75" x14ac:dyDescent="0.25">
      <c r="A70" s="217"/>
      <c r="B70" s="287" t="s">
        <v>131</v>
      </c>
      <c r="C70" s="288"/>
      <c r="D70" s="289"/>
      <c r="E70" s="290"/>
      <c r="F70" s="291"/>
      <c r="G70" s="292">
        <v>3452.11</v>
      </c>
      <c r="H70" s="233">
        <f t="shared" si="8"/>
        <v>4.4012682624686464E-6</v>
      </c>
      <c r="I70" s="165">
        <v>0</v>
      </c>
      <c r="J70" s="293"/>
      <c r="K70" s="294"/>
      <c r="L70" s="295"/>
      <c r="M70" s="296"/>
      <c r="N70" s="297"/>
      <c r="O70" s="704" t="s">
        <v>132</v>
      </c>
      <c r="P70" s="706">
        <f>(G70+G71)/G72</f>
        <v>6.0040973790169921E-6</v>
      </c>
      <c r="Q70" s="298"/>
      <c r="R70" s="299"/>
      <c r="S70" s="291"/>
      <c r="T70" s="261"/>
      <c r="U70" s="261"/>
      <c r="V70" s="261"/>
      <c r="W70" s="261"/>
      <c r="X70" s="261"/>
    </row>
    <row r="71" spans="1:25" s="261" customFormat="1" ht="15.75" x14ac:dyDescent="0.25">
      <c r="A71" s="8"/>
      <c r="B71" s="300" t="s">
        <v>133</v>
      </c>
      <c r="C71" s="301"/>
      <c r="D71" s="302"/>
      <c r="E71" s="303"/>
      <c r="F71" s="301"/>
      <c r="G71" s="59">
        <v>1257.17</v>
      </c>
      <c r="H71" s="304">
        <v>9.5999999999999992E-3</v>
      </c>
      <c r="I71" s="74">
        <v>0</v>
      </c>
      <c r="J71" s="305"/>
      <c r="K71" s="306"/>
      <c r="L71" s="307"/>
      <c r="M71" s="308"/>
      <c r="N71" s="309"/>
      <c r="O71" s="705"/>
      <c r="P71" s="707"/>
      <c r="Q71" s="310"/>
      <c r="R71" s="311"/>
      <c r="S71" s="303"/>
      <c r="T71" s="312"/>
      <c r="V71" s="313"/>
      <c r="Y71" s="1"/>
    </row>
    <row r="72" spans="1:25" s="261" customFormat="1" ht="16.5" thickBot="1" x14ac:dyDescent="0.3">
      <c r="A72" s="8"/>
      <c r="B72" s="314" t="s">
        <v>134</v>
      </c>
      <c r="C72" s="315"/>
      <c r="D72" s="316"/>
      <c r="E72" s="317"/>
      <c r="F72" s="317"/>
      <c r="G72" s="318">
        <f>G4+G12+G23+G25+G39+G45+G48+G50+G58+G61+G66+G69</f>
        <v>784344373.97000003</v>
      </c>
      <c r="H72" s="319">
        <f>G72/$G$72</f>
        <v>1</v>
      </c>
      <c r="I72" s="320"/>
      <c r="J72" s="321"/>
      <c r="K72" s="322"/>
      <c r="L72" s="323"/>
      <c r="M72" s="324"/>
      <c r="N72" s="325"/>
      <c r="O72" s="326"/>
      <c r="P72" s="327">
        <f>SUM(P5+P13+P21+P22+P23+P24+P26+P35+P36+P37+P38+P40+P43+P44+P46+P49+P51+P57+P59+P62+P67+P70)</f>
        <v>1.0000000000000002</v>
      </c>
      <c r="Q72" s="328"/>
      <c r="R72" s="329"/>
      <c r="S72" s="330"/>
      <c r="T72" s="312"/>
      <c r="V72" s="313"/>
      <c r="Y72" s="1"/>
    </row>
    <row r="73" spans="1:25" s="261" customFormat="1" x14ac:dyDescent="0.25">
      <c r="A73" s="1"/>
      <c r="B73" s="331" t="s">
        <v>261</v>
      </c>
      <c r="C73" s="331"/>
      <c r="D73" s="332"/>
      <c r="E73" s="332">
        <v>7.6E-3</v>
      </c>
      <c r="F73" s="332"/>
      <c r="G73" s="331" t="s">
        <v>135</v>
      </c>
      <c r="H73" s="333">
        <v>8.8800000000000004E-2</v>
      </c>
      <c r="I73" s="334"/>
      <c r="J73" s="331" t="s">
        <v>136</v>
      </c>
      <c r="K73" s="333">
        <v>1.37E-2</v>
      </c>
      <c r="L73" s="334"/>
      <c r="M73" s="335" t="s">
        <v>137</v>
      </c>
      <c r="N73" s="333">
        <v>1.4744E-2</v>
      </c>
      <c r="O73" s="1"/>
      <c r="P73" s="333" t="s">
        <v>138</v>
      </c>
      <c r="Q73" s="1"/>
      <c r="R73" s="333"/>
      <c r="S73" s="336">
        <v>4.3299999999999998E-2</v>
      </c>
      <c r="Y73" s="1"/>
    </row>
    <row r="74" spans="1:25" s="261" customFormat="1" x14ac:dyDescent="0.25">
      <c r="A74" s="1"/>
      <c r="B74" s="331" t="s">
        <v>139</v>
      </c>
      <c r="C74" s="337"/>
      <c r="D74" s="331"/>
      <c r="E74" s="338">
        <v>2.1299999999999999E-2</v>
      </c>
      <c r="F74" s="333"/>
      <c r="G74" s="331" t="s">
        <v>140</v>
      </c>
      <c r="H74" s="333">
        <v>8.8400000000000006E-2</v>
      </c>
      <c r="I74" s="331"/>
      <c r="J74" s="331" t="s">
        <v>141</v>
      </c>
      <c r="K74" s="333">
        <v>2.3153E-2</v>
      </c>
      <c r="L74" s="333"/>
      <c r="M74" s="335" t="s">
        <v>142</v>
      </c>
      <c r="N74" s="333">
        <v>6.6020000000000002E-3</v>
      </c>
      <c r="O74" s="1"/>
      <c r="P74" s="339" t="s">
        <v>143</v>
      </c>
      <c r="Q74" s="1"/>
      <c r="R74" s="1"/>
      <c r="S74" s="336">
        <v>6.3600000000000004E-2</v>
      </c>
      <c r="Y74" s="1"/>
    </row>
    <row r="75" spans="1:25" s="261" customFormat="1" x14ac:dyDescent="0.25">
      <c r="A75" s="1"/>
      <c r="B75" s="331" t="s">
        <v>144</v>
      </c>
      <c r="C75" s="1"/>
      <c r="D75" s="333"/>
      <c r="E75" s="333">
        <v>2.5000000000000001E-3</v>
      </c>
      <c r="F75" s="333"/>
      <c r="G75" s="331" t="s">
        <v>145</v>
      </c>
      <c r="H75" s="333">
        <v>8.9200000000000002E-2</v>
      </c>
      <c r="I75" s="331"/>
      <c r="J75" s="331" t="s">
        <v>146</v>
      </c>
      <c r="K75" s="333">
        <v>1.4142999999999999E-2</v>
      </c>
      <c r="L75" s="333"/>
      <c r="M75" s="335" t="s">
        <v>147</v>
      </c>
      <c r="N75" s="333">
        <v>1.7947999999999999E-2</v>
      </c>
      <c r="O75" s="333"/>
      <c r="P75" s="339" t="s">
        <v>148</v>
      </c>
      <c r="Q75" s="1"/>
      <c r="R75" s="1"/>
      <c r="S75" s="336">
        <v>9.4E-2</v>
      </c>
      <c r="T75" s="340"/>
      <c r="Y75" s="1"/>
    </row>
    <row r="76" spans="1:25" s="261" customFormat="1" x14ac:dyDescent="0.25">
      <c r="A76" s="1"/>
      <c r="B76" s="331" t="s">
        <v>118</v>
      </c>
      <c r="C76" s="333"/>
      <c r="D76" s="333"/>
      <c r="E76" s="341">
        <v>5.4000000000000003E-3</v>
      </c>
      <c r="F76" s="341"/>
      <c r="G76" s="331" t="s">
        <v>149</v>
      </c>
      <c r="H76" s="333">
        <v>5.0900000000000001E-2</v>
      </c>
      <c r="I76" s="331"/>
      <c r="J76" s="331" t="s">
        <v>150</v>
      </c>
      <c r="K76" s="333">
        <v>1.4765E-2</v>
      </c>
      <c r="L76" s="333"/>
      <c r="M76" s="335" t="s">
        <v>151</v>
      </c>
      <c r="N76" s="333">
        <v>2.2756999999999999E-2</v>
      </c>
      <c r="O76" s="333"/>
      <c r="P76" s="339" t="s">
        <v>152</v>
      </c>
      <c r="Q76" s="1"/>
      <c r="R76" s="1"/>
      <c r="S76" s="336">
        <v>9.8000000000000004E-2</v>
      </c>
      <c r="Y76" s="1"/>
    </row>
    <row r="77" spans="1:25" s="261" customFormat="1" x14ac:dyDescent="0.25">
      <c r="A77" s="1"/>
      <c r="B77" s="331" t="s">
        <v>80</v>
      </c>
      <c r="C77" s="1"/>
      <c r="D77" s="333"/>
      <c r="E77" s="341">
        <v>3.3E-3</v>
      </c>
      <c r="F77" s="341"/>
      <c r="G77" s="331" t="s">
        <v>112</v>
      </c>
      <c r="H77" s="333">
        <v>7.2700000000000001E-2</v>
      </c>
      <c r="I77" s="1"/>
      <c r="J77" s="331" t="s">
        <v>153</v>
      </c>
      <c r="K77" s="333">
        <v>3.1461999999999997E-2</v>
      </c>
      <c r="L77" s="1"/>
      <c r="M77" s="335" t="s">
        <v>154</v>
      </c>
      <c r="N77" s="333">
        <v>5.4429999999999999E-3</v>
      </c>
      <c r="O77" s="333"/>
      <c r="P77" s="339"/>
      <c r="Q77" s="1"/>
      <c r="R77" s="1"/>
      <c r="S77" s="342">
        <f>'[1]FFPREV Julho 2018'!$G$52</f>
        <v>267517033.79999998</v>
      </c>
      <c r="T77" s="343"/>
      <c r="Y77" s="1"/>
    </row>
    <row r="78" spans="1:25" s="261" customFormat="1" x14ac:dyDescent="0.25">
      <c r="A78" s="1"/>
      <c r="B78" s="1"/>
      <c r="C78" s="1"/>
      <c r="D78" s="1"/>
      <c r="E78" s="1"/>
      <c r="F78" s="1"/>
      <c r="G78" s="331"/>
      <c r="H78" s="333" t="s">
        <v>155</v>
      </c>
      <c r="I78" s="1"/>
      <c r="J78" s="331"/>
      <c r="K78" s="333"/>
      <c r="L78" s="1"/>
      <c r="M78" s="335"/>
      <c r="N78" s="344"/>
      <c r="O78" s="333"/>
      <c r="P78" s="1"/>
      <c r="Q78" s="1"/>
      <c r="R78" s="1"/>
      <c r="S78" s="345">
        <f>G72</f>
        <v>784344373.97000003</v>
      </c>
      <c r="Y78" s="1"/>
    </row>
    <row r="79" spans="1:25" s="1" customFormat="1" x14ac:dyDescent="0.25">
      <c r="D79" t="s">
        <v>156</v>
      </c>
      <c r="G79" s="346">
        <f>S79</f>
        <v>1051861407.77</v>
      </c>
      <c r="H79" s="333"/>
      <c r="J79" s="331"/>
      <c r="K79" s="333"/>
      <c r="M79" s="347"/>
      <c r="N79" s="344"/>
      <c r="O79" s="333"/>
      <c r="S79" s="348">
        <f>S77+S78</f>
        <v>1051861407.77</v>
      </c>
      <c r="T79" s="261"/>
      <c r="U79" s="261"/>
      <c r="V79" s="261"/>
      <c r="W79" s="261"/>
      <c r="X79" s="261"/>
    </row>
    <row r="80" spans="1:25" s="7" customFormat="1" x14ac:dyDescent="0.25">
      <c r="A80"/>
      <c r="B80"/>
      <c r="C80"/>
      <c r="D80"/>
      <c r="E80"/>
      <c r="F80"/>
      <c r="G80" s="598"/>
      <c r="H80" s="333"/>
      <c r="I80" s="1"/>
      <c r="J80" s="331"/>
      <c r="K80" s="333"/>
      <c r="L80" s="1"/>
      <c r="M80" s="347"/>
      <c r="N80" s="353"/>
      <c r="O80"/>
      <c r="P80"/>
      <c r="Q80"/>
      <c r="R80"/>
      <c r="S80" s="348"/>
      <c r="Y80"/>
    </row>
    <row r="81" spans="1:25" s="7" customFormat="1" x14ac:dyDescent="0.25">
      <c r="A81"/>
      <c r="B81" s="331"/>
      <c r="C81" s="331"/>
      <c r="D81" s="331"/>
      <c r="E81" s="332"/>
      <c r="F81" s="332"/>
      <c r="G81" s="599"/>
      <c r="H81" s="344"/>
      <c r="I81" s="1"/>
      <c r="J81" s="1"/>
      <c r="K81" s="1"/>
      <c r="L81" s="1"/>
      <c r="M81" s="347"/>
      <c r="N81" s="353"/>
      <c r="O81"/>
      <c r="P81"/>
      <c r="Q81"/>
      <c r="R81"/>
      <c r="S81"/>
      <c r="Y81"/>
    </row>
    <row r="82" spans="1:25" s="7" customFormat="1" x14ac:dyDescent="0.25">
      <c r="A82"/>
      <c r="B82" s="331"/>
      <c r="C82" s="331"/>
      <c r="D82" s="331"/>
      <c r="E82" s="333"/>
      <c r="F82" s="333"/>
      <c r="G82" s="354"/>
      <c r="H82" s="344"/>
      <c r="I82" s="1"/>
      <c r="J82" s="1"/>
      <c r="K82" s="1"/>
      <c r="L82" s="1"/>
      <c r="M82" s="347"/>
      <c r="N82" s="353"/>
      <c r="O82"/>
      <c r="P82"/>
      <c r="Q82"/>
      <c r="R82"/>
      <c r="S82"/>
      <c r="Y82"/>
    </row>
    <row r="83" spans="1:25" s="7" customFormat="1" x14ac:dyDescent="0.25">
      <c r="A83"/>
      <c r="B83" s="331"/>
      <c r="C83" s="1"/>
      <c r="D83" s="333"/>
      <c r="E83" s="333"/>
      <c r="F83" s="333"/>
      <c r="G83" s="349"/>
      <c r="H83" s="344"/>
      <c r="I83" s="1"/>
      <c r="J83" s="1"/>
      <c r="K83" s="1"/>
      <c r="L83" s="1"/>
      <c r="M83" s="347"/>
      <c r="N83" s="353"/>
      <c r="O83"/>
      <c r="P83"/>
      <c r="Q83"/>
      <c r="R83"/>
      <c r="S83"/>
      <c r="Y83"/>
    </row>
    <row r="84" spans="1:25" s="7" customFormat="1" x14ac:dyDescent="0.25">
      <c r="A84"/>
      <c r="B84" s="331"/>
      <c r="C84" s="333"/>
      <c r="D84" s="333"/>
      <c r="E84" s="339"/>
      <c r="F84" s="339"/>
      <c r="G84" s="349"/>
      <c r="H84" s="344"/>
      <c r="I84" s="1"/>
      <c r="J84" s="1"/>
      <c r="K84" s="1"/>
      <c r="L84" s="1"/>
      <c r="M84" s="347" t="s">
        <v>157</v>
      </c>
      <c r="N84" s="353"/>
      <c r="O84"/>
      <c r="P84"/>
      <c r="Q84"/>
      <c r="R84"/>
      <c r="S84"/>
      <c r="Y84"/>
    </row>
    <row r="85" spans="1:25" s="7" customFormat="1" x14ac:dyDescent="0.25">
      <c r="A85"/>
      <c r="B85" s="331" t="s">
        <v>60</v>
      </c>
      <c r="C85" s="1"/>
      <c r="D85" s="333" t="s">
        <v>158</v>
      </c>
      <c r="E85" s="355">
        <v>1.6500000000000001E-2</v>
      </c>
      <c r="F85" s="1"/>
      <c r="G85" s="349">
        <f>G4+G12+G21+G22+G23+G24+G25+G35+G36+G37+G38+G39+G43+G44</f>
        <v>624471736.84000003</v>
      </c>
      <c r="H85" s="344">
        <f>G85/G88</f>
        <v>0.79617035267200775</v>
      </c>
      <c r="I85" s="1"/>
      <c r="J85" s="1" t="s">
        <v>60</v>
      </c>
      <c r="K85" s="1"/>
      <c r="L85" s="1"/>
      <c r="M85" s="586">
        <f>'[3]Consolidado fevereiro 2018'!$G$112</f>
        <v>838658112.35000002</v>
      </c>
      <c r="N85" s="353">
        <f>M85/M88</f>
        <v>0.81890513514275298</v>
      </c>
      <c r="O85"/>
      <c r="P85"/>
      <c r="Q85"/>
      <c r="R85"/>
      <c r="S85"/>
      <c r="Y85"/>
    </row>
    <row r="86" spans="1:25" s="7" customFormat="1" x14ac:dyDescent="0.25">
      <c r="A86"/>
      <c r="B86" t="s">
        <v>96</v>
      </c>
      <c r="C86"/>
      <c r="D86" s="333" t="s">
        <v>158</v>
      </c>
      <c r="E86" s="355">
        <v>4.07E-2</v>
      </c>
      <c r="F86"/>
      <c r="G86" s="349">
        <f>G45+G48+G50+G57+G58+G61+G66</f>
        <v>159867927.84999999</v>
      </c>
      <c r="H86" s="344">
        <f>G86/G88</f>
        <v>0.20382364323061325</v>
      </c>
      <c r="I86" s="1"/>
      <c r="J86" s="1" t="s">
        <v>96</v>
      </c>
      <c r="K86" s="1"/>
      <c r="L86" s="1"/>
      <c r="M86" s="586">
        <f>'[3]Consolidado fevereiro 2018'!$G$105</f>
        <v>184803995.55999997</v>
      </c>
      <c r="N86" s="353">
        <f>M86/M88</f>
        <v>0.18045129323905537</v>
      </c>
      <c r="O86"/>
      <c r="P86"/>
      <c r="Q86"/>
      <c r="R86"/>
      <c r="S86"/>
      <c r="Y86"/>
    </row>
    <row r="87" spans="1:25" s="7" customFormat="1" x14ac:dyDescent="0.25">
      <c r="A87"/>
      <c r="B87" t="s">
        <v>159</v>
      </c>
      <c r="C87"/>
      <c r="D87"/>
      <c r="E87" s="617"/>
      <c r="F87"/>
      <c r="G87" s="349">
        <f>G69</f>
        <v>4709.2800000000007</v>
      </c>
      <c r="H87" s="344">
        <f>G87/G88</f>
        <v>6.0040973790169921E-6</v>
      </c>
      <c r="I87" s="1"/>
      <c r="J87" s="1" t="s">
        <v>160</v>
      </c>
      <c r="K87" s="1"/>
      <c r="L87" s="1"/>
      <c r="M87" s="586">
        <f>'[3]Consolidado fevereiro 2018'!$M$106</f>
        <v>659095.34000000008</v>
      </c>
      <c r="N87" s="353">
        <f>M87/M88</f>
        <v>6.4357161819166746E-4</v>
      </c>
      <c r="O87"/>
      <c r="P87"/>
      <c r="Q87"/>
      <c r="R87"/>
      <c r="S87"/>
      <c r="Y87"/>
    </row>
    <row r="88" spans="1:25" s="7" customFormat="1" x14ac:dyDescent="0.25">
      <c r="A88"/>
      <c r="B88"/>
      <c r="C88"/>
      <c r="D88"/>
      <c r="E88" s="355">
        <v>2.1299999999999999E-2</v>
      </c>
      <c r="F88"/>
      <c r="G88" s="349">
        <f>G85+G86+G87</f>
        <v>784344373.97000003</v>
      </c>
      <c r="H88" s="344">
        <f>SUM(H85:H87)</f>
        <v>1</v>
      </c>
      <c r="I88" s="1"/>
      <c r="J88" s="261" t="s">
        <v>161</v>
      </c>
      <c r="K88" s="261"/>
      <c r="L88" s="261"/>
      <c r="M88" s="586">
        <f>M85+M86+M87</f>
        <v>1024121203.25</v>
      </c>
      <c r="N88" s="353">
        <f>N85+N86+N87</f>
        <v>1</v>
      </c>
      <c r="O88"/>
      <c r="P88"/>
      <c r="Q88"/>
      <c r="R88"/>
      <c r="S88"/>
      <c r="Y88"/>
    </row>
    <row r="89" spans="1:25" s="7" customFormat="1" x14ac:dyDescent="0.25">
      <c r="A89"/>
      <c r="B89"/>
      <c r="C89"/>
      <c r="D89"/>
      <c r="E89" s="358"/>
      <c r="F89"/>
      <c r="G89" s="1"/>
      <c r="H89" s="344"/>
      <c r="I89" s="1"/>
      <c r="J89" s="1"/>
      <c r="K89" s="1"/>
      <c r="L89" s="1"/>
      <c r="M89" s="347"/>
      <c r="N89" s="353"/>
      <c r="O89"/>
      <c r="P89"/>
      <c r="Q89"/>
      <c r="R89"/>
      <c r="S89"/>
      <c r="Y89"/>
    </row>
    <row r="90" spans="1:25" s="7" customFormat="1" x14ac:dyDescent="0.25">
      <c r="A90"/>
      <c r="B90"/>
      <c r="C90"/>
      <c r="D90"/>
      <c r="E90"/>
      <c r="F90"/>
      <c r="G90" s="1"/>
      <c r="H90" s="344"/>
      <c r="I90" s="1"/>
      <c r="J90" s="1"/>
      <c r="K90" s="1"/>
      <c r="L90" s="1"/>
      <c r="M90" s="347"/>
      <c r="N90" s="353"/>
      <c r="O90"/>
      <c r="P90"/>
      <c r="Q90"/>
      <c r="R90"/>
      <c r="S90"/>
      <c r="Y90"/>
    </row>
    <row r="91" spans="1:25" s="7" customFormat="1" x14ac:dyDescent="0.25">
      <c r="A91"/>
      <c r="B91"/>
      <c r="C91"/>
      <c r="D91"/>
      <c r="E91"/>
      <c r="F91"/>
      <c r="G91" s="1"/>
      <c r="H91" s="344"/>
      <c r="I91" s="1"/>
      <c r="J91" s="1"/>
      <c r="K91" s="1"/>
      <c r="L91" s="1"/>
      <c r="M91" s="347"/>
      <c r="N91" s="353"/>
      <c r="O91"/>
      <c r="P91"/>
      <c r="Q91"/>
      <c r="R91"/>
      <c r="S91"/>
      <c r="Y91"/>
    </row>
  </sheetData>
  <mergeCells count="48">
    <mergeCell ref="R67:R68"/>
    <mergeCell ref="S67:S68"/>
    <mergeCell ref="O70:O71"/>
    <mergeCell ref="P70:P71"/>
    <mergeCell ref="O59:O60"/>
    <mergeCell ref="P59:P60"/>
    <mergeCell ref="Q59:Q60"/>
    <mergeCell ref="O67:O68"/>
    <mergeCell ref="P67:P68"/>
    <mergeCell ref="Q67:Q68"/>
    <mergeCell ref="R59:R60"/>
    <mergeCell ref="S59:S60"/>
    <mergeCell ref="O62:O65"/>
    <mergeCell ref="P62:P65"/>
    <mergeCell ref="Q62:Q65"/>
    <mergeCell ref="R62:R65"/>
    <mergeCell ref="S62:S65"/>
    <mergeCell ref="O46:O47"/>
    <mergeCell ref="P46:P47"/>
    <mergeCell ref="Q46:Q47"/>
    <mergeCell ref="R46:R47"/>
    <mergeCell ref="S46:S47"/>
    <mergeCell ref="O51:O56"/>
    <mergeCell ref="P51:P56"/>
    <mergeCell ref="Q51:Q56"/>
    <mergeCell ref="R51:R56"/>
    <mergeCell ref="S51:S56"/>
    <mergeCell ref="O26:O34"/>
    <mergeCell ref="P26:P34"/>
    <mergeCell ref="Q26:Q34"/>
    <mergeCell ref="R26:R34"/>
    <mergeCell ref="S26:S34"/>
    <mergeCell ref="O40:O42"/>
    <mergeCell ref="P40:P42"/>
    <mergeCell ref="Q40:Q42"/>
    <mergeCell ref="R40:R42"/>
    <mergeCell ref="S40:S42"/>
    <mergeCell ref="O13:O20"/>
    <mergeCell ref="P13:P20"/>
    <mergeCell ref="Q13:Q20"/>
    <mergeCell ref="R13:R20"/>
    <mergeCell ref="S13:S20"/>
    <mergeCell ref="S5:S11"/>
    <mergeCell ref="P3:R3"/>
    <mergeCell ref="O5:O11"/>
    <mergeCell ref="P5:P11"/>
    <mergeCell ref="Q5:Q11"/>
    <mergeCell ref="R5:R11"/>
  </mergeCells>
  <printOptions horizontalCentered="1"/>
  <pageMargins left="0" right="0" top="0" bottom="0" header="0.19685039370078741" footer="0.39370078740157483"/>
  <pageSetup paperSize="9" scale="4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Meta</vt:lpstr>
      <vt:lpstr>FFIN2 Janeiro 2018</vt:lpstr>
      <vt:lpstr>FFIN2 Fevereiro 2018</vt:lpstr>
      <vt:lpstr>FFIN2 Março 2018</vt:lpstr>
      <vt:lpstr>FFIN2 Abril 2018</vt:lpstr>
      <vt:lpstr>FFIN2 Maio 2018</vt:lpstr>
      <vt:lpstr>FFIN2 Junho 2018</vt:lpstr>
      <vt:lpstr>FFIN2 Julho 2018</vt:lpstr>
      <vt:lpstr>'FFIN2 Abril 2018'!Area_de_impressao</vt:lpstr>
      <vt:lpstr>'FFIN2 Fevereiro 2018'!Area_de_impressao</vt:lpstr>
      <vt:lpstr>'FFIN2 Janeiro 2018'!Area_de_impressao</vt:lpstr>
      <vt:lpstr>'FFIN2 Julho 2018'!Area_de_impressao</vt:lpstr>
      <vt:lpstr>'FFIN2 Junho 2018'!Area_de_impressao</vt:lpstr>
      <vt:lpstr>'FFIN2 Maio 2018'!Area_de_impressao</vt:lpstr>
      <vt:lpstr>'FFIN2 Março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Gilmar Giraldini</dc:creator>
  <cp:lastModifiedBy>Antonio Gilmar Giraldini</cp:lastModifiedBy>
  <cp:lastPrinted>2018-07-05T19:14:55Z</cp:lastPrinted>
  <dcterms:created xsi:type="dcterms:W3CDTF">2018-02-05T20:25:49Z</dcterms:created>
  <dcterms:modified xsi:type="dcterms:W3CDTF">2018-08-22T17:24:43Z</dcterms:modified>
</cp:coreProperties>
</file>