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10" windowWidth="20835" windowHeight="7470" firstSheet="3" activeTab="7"/>
  </bookViews>
  <sheets>
    <sheet name="Metas" sheetId="2" r:id="rId1"/>
    <sheet name="FFPREV Janeiro 2018" sheetId="1" r:id="rId2"/>
    <sheet name="FFPREV Fevereiro 2018" sheetId="3" r:id="rId3"/>
    <sheet name="FFPREV Março 2018" sheetId="4" r:id="rId4"/>
    <sheet name="FFPREV Abril 2018" sheetId="5" r:id="rId5"/>
    <sheet name="FFPREV Maio 2018" sheetId="6" r:id="rId6"/>
    <sheet name="FFPREV Junho 2018" sheetId="7" r:id="rId7"/>
    <sheet name="FFPREV Julho 2018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4">'FFPREV Abril 2018'!$A$1:$S$66</definedName>
    <definedName name="_xlnm.Print_Area" localSheetId="2">'FFPREV Fevereiro 2018'!$A$1:$S$65</definedName>
    <definedName name="_xlnm.Print_Area" localSheetId="1">'FFPREV Janeiro 2018'!$A$1:$S$64</definedName>
    <definedName name="_xlnm.Print_Area" localSheetId="7">'FFPREV Julho 2018'!$A$1:$S$63</definedName>
    <definedName name="_xlnm.Print_Area" localSheetId="6">'FFPREV Junho 2018'!$A$1:$S$69</definedName>
    <definedName name="_xlnm.Print_Area" localSheetId="5">'FFPREV Maio 2018'!$A$1:$S$68</definedName>
    <definedName name="_xlnm.Print_Area" localSheetId="3">'FFPREV Março 2018'!$A$1:$S$65</definedName>
  </definedNames>
  <calcPr calcId="145621"/>
</workbook>
</file>

<file path=xl/calcChain.xml><?xml version="1.0" encoding="utf-8"?>
<calcChain xmlns="http://schemas.openxmlformats.org/spreadsheetml/2006/main">
  <c r="G20" i="8" l="1"/>
  <c r="N57" i="8" l="1"/>
  <c r="K57" i="8"/>
  <c r="H57" i="8"/>
  <c r="E57" i="8"/>
  <c r="N56" i="8"/>
  <c r="K56" i="8"/>
  <c r="H56" i="8"/>
  <c r="E56" i="8"/>
  <c r="N55" i="8"/>
  <c r="K55" i="8"/>
  <c r="H55" i="8"/>
  <c r="E55" i="8"/>
  <c r="N54" i="8"/>
  <c r="K54" i="8"/>
  <c r="H54" i="8"/>
  <c r="N53" i="8"/>
  <c r="K53" i="8"/>
  <c r="H53" i="8"/>
  <c r="E53" i="8"/>
  <c r="B53" i="8"/>
  <c r="G49" i="8"/>
  <c r="G67" i="8" s="1"/>
  <c r="N47" i="8"/>
  <c r="G46" i="8"/>
  <c r="N44" i="8"/>
  <c r="G43" i="8"/>
  <c r="N41" i="8"/>
  <c r="N40" i="8"/>
  <c r="N39" i="8"/>
  <c r="N38" i="8"/>
  <c r="G37" i="8"/>
  <c r="N27" i="8"/>
  <c r="N26" i="8"/>
  <c r="N24" i="8"/>
  <c r="G23" i="8"/>
  <c r="N25" i="8"/>
  <c r="N21" i="8"/>
  <c r="N14" i="8"/>
  <c r="N17" i="8"/>
  <c r="N16" i="8"/>
  <c r="N15" i="8"/>
  <c r="N13" i="8"/>
  <c r="N12" i="8"/>
  <c r="N11" i="8"/>
  <c r="G10" i="8"/>
  <c r="G4" i="8"/>
  <c r="G66" i="8" l="1"/>
  <c r="G64" i="7"/>
  <c r="G4" i="7"/>
  <c r="G65" i="7"/>
  <c r="E52" i="7" l="1"/>
  <c r="G36" i="7" l="1"/>
  <c r="N37" i="7"/>
  <c r="H53" i="7" l="1"/>
  <c r="H52" i="7"/>
  <c r="N56" i="7"/>
  <c r="K56" i="7"/>
  <c r="H56" i="7"/>
  <c r="E56" i="7"/>
  <c r="N55" i="7"/>
  <c r="K55" i="7"/>
  <c r="H55" i="7"/>
  <c r="E55" i="7"/>
  <c r="N54" i="7"/>
  <c r="K54" i="7"/>
  <c r="H54" i="7"/>
  <c r="E54" i="7"/>
  <c r="N53" i="7"/>
  <c r="K53" i="7"/>
  <c r="N52" i="7"/>
  <c r="K52" i="7"/>
  <c r="B52" i="7"/>
  <c r="G48" i="7" l="1"/>
  <c r="G66" i="7" s="1"/>
  <c r="N46" i="7"/>
  <c r="G45" i="7"/>
  <c r="N43" i="7"/>
  <c r="G42" i="7"/>
  <c r="N40" i="7"/>
  <c r="N39" i="7"/>
  <c r="N38" i="7"/>
  <c r="N26" i="7"/>
  <c r="N25" i="7"/>
  <c r="N24" i="7"/>
  <c r="G23" i="7"/>
  <c r="N21" i="7"/>
  <c r="N20" i="7"/>
  <c r="N19" i="7"/>
  <c r="G18" i="7"/>
  <c r="N15" i="7"/>
  <c r="N14" i="7"/>
  <c r="N13" i="7"/>
  <c r="N12" i="7"/>
  <c r="N11" i="7"/>
  <c r="N10" i="7"/>
  <c r="G9" i="7"/>
  <c r="S56" i="6" l="1"/>
  <c r="G44" i="6" l="1"/>
  <c r="N45" i="6"/>
  <c r="B51" i="6"/>
  <c r="E55" i="6"/>
  <c r="E53" i="6"/>
  <c r="E51" i="6"/>
  <c r="N55" i="6"/>
  <c r="N54" i="6"/>
  <c r="N53" i="6"/>
  <c r="N52" i="6"/>
  <c r="N51" i="6"/>
  <c r="K55" i="6"/>
  <c r="K54" i="6"/>
  <c r="K53" i="6"/>
  <c r="K52" i="6"/>
  <c r="K51" i="6"/>
  <c r="H55" i="6"/>
  <c r="H54" i="6"/>
  <c r="H53" i="6"/>
  <c r="E54" i="6"/>
  <c r="H52" i="6" l="1"/>
  <c r="H51" i="6"/>
  <c r="G9" i="6"/>
  <c r="N15" i="6"/>
  <c r="G47" i="6"/>
  <c r="N43" i="6"/>
  <c r="N42" i="6"/>
  <c r="G41" i="6"/>
  <c r="N39" i="6"/>
  <c r="N38" i="6"/>
  <c r="N37" i="6"/>
  <c r="G36" i="6"/>
  <c r="N26" i="6"/>
  <c r="N25" i="6"/>
  <c r="N24" i="6"/>
  <c r="G23" i="6"/>
  <c r="N21" i="6"/>
  <c r="N20" i="6"/>
  <c r="N19" i="6"/>
  <c r="G18" i="6"/>
  <c r="N14" i="6"/>
  <c r="N13" i="6"/>
  <c r="N12" i="6"/>
  <c r="N11" i="6"/>
  <c r="N10" i="6"/>
  <c r="G4" i="6"/>
  <c r="G64" i="6" l="1"/>
  <c r="G50" i="6"/>
  <c r="G65" i="6"/>
  <c r="G63" i="6"/>
  <c r="G62" i="5"/>
  <c r="G61" i="5"/>
  <c r="H10" i="6" l="1"/>
  <c r="H45" i="6"/>
  <c r="H43" i="6"/>
  <c r="H8" i="6"/>
  <c r="H38" i="6"/>
  <c r="P37" i="6"/>
  <c r="H11" i="6"/>
  <c r="S55" i="6"/>
  <c r="S57" i="6" s="1"/>
  <c r="H25" i="6"/>
  <c r="H26" i="6"/>
  <c r="H15" i="6"/>
  <c r="H41" i="6"/>
  <c r="H44" i="6"/>
  <c r="H19" i="6"/>
  <c r="H13" i="6"/>
  <c r="H20" i="6"/>
  <c r="H23" i="6"/>
  <c r="H50" i="6"/>
  <c r="H31" i="6"/>
  <c r="P24" i="6"/>
  <c r="H9" i="6"/>
  <c r="P10" i="6"/>
  <c r="H24" i="6"/>
  <c r="P48" i="6"/>
  <c r="H35" i="6"/>
  <c r="P47" i="6"/>
  <c r="P34" i="6"/>
  <c r="H21" i="6"/>
  <c r="H34" i="6"/>
  <c r="H6" i="6"/>
  <c r="H39" i="6"/>
  <c r="H18" i="6"/>
  <c r="H5" i="6"/>
  <c r="H7" i="6"/>
  <c r="P42" i="6"/>
  <c r="H37" i="6"/>
  <c r="P5" i="6"/>
  <c r="H47" i="6"/>
  <c r="H36" i="6"/>
  <c r="H14" i="6"/>
  <c r="H42" i="6"/>
  <c r="H12" i="6"/>
  <c r="H4" i="6"/>
  <c r="H46" i="6"/>
  <c r="G66" i="6"/>
  <c r="H64" i="6" s="1"/>
  <c r="G17" i="5"/>
  <c r="H63" i="6" l="1"/>
  <c r="R50" i="6"/>
  <c r="R47" i="6"/>
  <c r="P50" i="6"/>
  <c r="P19" i="6"/>
  <c r="H65" i="6"/>
  <c r="N11" i="5"/>
  <c r="H66" i="6" l="1"/>
  <c r="E53" i="5"/>
  <c r="E52" i="5"/>
  <c r="E51" i="5"/>
  <c r="N53" i="5"/>
  <c r="K53" i="5"/>
  <c r="N52" i="4"/>
  <c r="K52" i="4"/>
  <c r="H52" i="4"/>
  <c r="E52" i="4"/>
  <c r="N51" i="4"/>
  <c r="K51" i="4"/>
  <c r="H51" i="4"/>
  <c r="E51" i="4"/>
  <c r="N50" i="4"/>
  <c r="K50" i="4"/>
  <c r="H50" i="4"/>
  <c r="E50" i="4"/>
  <c r="N49" i="4"/>
  <c r="K49" i="4"/>
  <c r="H49" i="4"/>
  <c r="N48" i="4"/>
  <c r="K48" i="4"/>
  <c r="H53" i="5"/>
  <c r="N52" i="5"/>
  <c r="K52" i="5"/>
  <c r="H52" i="5"/>
  <c r="N51" i="5"/>
  <c r="K51" i="5"/>
  <c r="H51" i="5"/>
  <c r="N50" i="5"/>
  <c r="K50" i="5"/>
  <c r="H50" i="5"/>
  <c r="N49" i="5"/>
  <c r="K49" i="5"/>
  <c r="H49" i="5"/>
  <c r="E49" i="5"/>
  <c r="B49" i="5"/>
  <c r="G45" i="5"/>
  <c r="G63" i="5" s="1"/>
  <c r="N42" i="5"/>
  <c r="N41" i="5"/>
  <c r="G40" i="5"/>
  <c r="N38" i="5"/>
  <c r="N37" i="5"/>
  <c r="N36" i="5"/>
  <c r="G35" i="5"/>
  <c r="N25" i="5"/>
  <c r="N24" i="5"/>
  <c r="N19" i="5"/>
  <c r="N20" i="5"/>
  <c r="N23" i="5"/>
  <c r="G22" i="5"/>
  <c r="N14" i="5"/>
  <c r="N13" i="5"/>
  <c r="N18" i="5"/>
  <c r="N12" i="5"/>
  <c r="N10" i="5"/>
  <c r="G9" i="5"/>
  <c r="G4" i="5"/>
  <c r="G48" i="5" l="1"/>
  <c r="E48" i="4"/>
  <c r="B48" i="4"/>
  <c r="H42" i="5" l="1"/>
  <c r="H11" i="5"/>
  <c r="H37" i="5"/>
  <c r="P41" i="5"/>
  <c r="H7" i="5"/>
  <c r="H34" i="5"/>
  <c r="H23" i="5"/>
  <c r="P33" i="5"/>
  <c r="H44" i="5"/>
  <c r="H8" i="5"/>
  <c r="P46" i="5"/>
  <c r="H43" i="5"/>
  <c r="H40" i="5"/>
  <c r="H5" i="5"/>
  <c r="H48" i="5"/>
  <c r="P18" i="5" s="1"/>
  <c r="H14" i="5"/>
  <c r="H25" i="5"/>
  <c r="H45" i="5"/>
  <c r="H20" i="5"/>
  <c r="H36" i="5"/>
  <c r="H4" i="5"/>
  <c r="H30" i="5"/>
  <c r="H6" i="5"/>
  <c r="H35" i="5"/>
  <c r="H13" i="5"/>
  <c r="P36" i="5"/>
  <c r="H38" i="5"/>
  <c r="H12" i="5"/>
  <c r="H22" i="5"/>
  <c r="H10" i="5"/>
  <c r="P5" i="5"/>
  <c r="S53" i="5"/>
  <c r="H17" i="5"/>
  <c r="P45" i="5"/>
  <c r="P23" i="5"/>
  <c r="P10" i="5"/>
  <c r="H18" i="5"/>
  <c r="H19" i="5"/>
  <c r="H9" i="5"/>
  <c r="H41" i="5"/>
  <c r="H33" i="5"/>
  <c r="H24" i="5"/>
  <c r="G64" i="5"/>
  <c r="H61" i="5" s="1"/>
  <c r="G47" i="4"/>
  <c r="P48" i="5" l="1"/>
  <c r="R45" i="5"/>
  <c r="R48" i="5"/>
  <c r="H63" i="5"/>
  <c r="H62" i="5"/>
  <c r="G44" i="4"/>
  <c r="N41" i="4"/>
  <c r="N40" i="4"/>
  <c r="G39" i="4"/>
  <c r="N37" i="4"/>
  <c r="N36" i="4"/>
  <c r="N35" i="4"/>
  <c r="G34" i="4"/>
  <c r="N24" i="4"/>
  <c r="N23" i="4"/>
  <c r="N22" i="4"/>
  <c r="N21" i="4"/>
  <c r="N20" i="4"/>
  <c r="G19" i="4"/>
  <c r="N14" i="4"/>
  <c r="N13" i="4"/>
  <c r="N12" i="4"/>
  <c r="N11" i="4"/>
  <c r="N10" i="4"/>
  <c r="G9" i="4"/>
  <c r="G4" i="4"/>
  <c r="H64" i="5" l="1"/>
  <c r="G61" i="4"/>
  <c r="G60" i="4"/>
  <c r="G62" i="4"/>
  <c r="N52" i="3"/>
  <c r="N51" i="3"/>
  <c r="N50" i="3"/>
  <c r="N49" i="3"/>
  <c r="N48" i="3"/>
  <c r="K52" i="3"/>
  <c r="K51" i="3"/>
  <c r="K50" i="3"/>
  <c r="K49" i="3"/>
  <c r="K48" i="3"/>
  <c r="H52" i="3"/>
  <c r="H51" i="3"/>
  <c r="H50" i="3"/>
  <c r="H49" i="3"/>
  <c r="H48" i="3"/>
  <c r="E52" i="3"/>
  <c r="E51" i="3"/>
  <c r="E50" i="3"/>
  <c r="B48" i="3"/>
  <c r="H19" i="4" l="1"/>
  <c r="H41" i="4"/>
  <c r="H5" i="4"/>
  <c r="H13" i="4"/>
  <c r="H44" i="4"/>
  <c r="H29" i="4"/>
  <c r="S52" i="4"/>
  <c r="H39" i="4"/>
  <c r="H7" i="4"/>
  <c r="P40" i="4"/>
  <c r="H14" i="4"/>
  <c r="H24" i="4"/>
  <c r="H9" i="4"/>
  <c r="H21" i="4"/>
  <c r="H36" i="4"/>
  <c r="P35" i="4"/>
  <c r="P44" i="4"/>
  <c r="H43" i="4"/>
  <c r="H34" i="4"/>
  <c r="P45" i="4"/>
  <c r="H11" i="4"/>
  <c r="P10" i="4"/>
  <c r="H8" i="4"/>
  <c r="H33" i="4"/>
  <c r="H35" i="4"/>
  <c r="H12" i="4"/>
  <c r="H37" i="4"/>
  <c r="H10" i="4"/>
  <c r="H6" i="4"/>
  <c r="H23" i="4"/>
  <c r="H20" i="4"/>
  <c r="P32" i="4"/>
  <c r="P20" i="4"/>
  <c r="H17" i="4"/>
  <c r="H42" i="4"/>
  <c r="P5" i="4"/>
  <c r="H4" i="4"/>
  <c r="H40" i="4"/>
  <c r="H22" i="4"/>
  <c r="H47" i="4"/>
  <c r="H32" i="4"/>
  <c r="G63" i="4"/>
  <c r="H61" i="4" s="1"/>
  <c r="G34" i="3"/>
  <c r="N36" i="3"/>
  <c r="N35" i="3"/>
  <c r="N37" i="3"/>
  <c r="I35" i="1"/>
  <c r="G35" i="1"/>
  <c r="I34" i="1"/>
  <c r="G34" i="1"/>
  <c r="I36" i="1"/>
  <c r="G36" i="1"/>
  <c r="R44" i="4" l="1"/>
  <c r="R47" i="4"/>
  <c r="P47" i="4"/>
  <c r="H60" i="4"/>
  <c r="H62" i="4"/>
  <c r="H63" i="4" s="1"/>
  <c r="N34" i="1"/>
  <c r="N36" i="1"/>
  <c r="N35" i="1"/>
  <c r="G33" i="1"/>
  <c r="N10" i="3"/>
  <c r="M20" i="1" l="1"/>
  <c r="G44" i="3" l="1"/>
  <c r="N41" i="3"/>
  <c r="N40" i="3"/>
  <c r="N24" i="3"/>
  <c r="N23" i="3"/>
  <c r="N22" i="3"/>
  <c r="N14" i="3"/>
  <c r="N13" i="3"/>
  <c r="N12" i="3"/>
  <c r="N11" i="3" l="1"/>
  <c r="G9" i="3"/>
  <c r="G39" i="3"/>
  <c r="G4" i="3"/>
  <c r="G19" i="3"/>
  <c r="N21" i="3"/>
  <c r="G62" i="3"/>
  <c r="N20" i="3"/>
  <c r="G60" i="3" l="1"/>
  <c r="N65" i="2"/>
  <c r="N66" i="2"/>
  <c r="N67" i="2"/>
  <c r="M77" i="2"/>
  <c r="L77" i="2"/>
  <c r="K77" i="2"/>
  <c r="J77" i="2"/>
  <c r="I77" i="2"/>
  <c r="H77" i="2"/>
  <c r="G77" i="2"/>
  <c r="F77" i="2"/>
  <c r="E77" i="2"/>
  <c r="D77" i="2"/>
  <c r="C77" i="2"/>
  <c r="B77" i="2"/>
  <c r="N76" i="2"/>
  <c r="N75" i="2"/>
  <c r="N74" i="2"/>
  <c r="M68" i="2"/>
  <c r="L68" i="2"/>
  <c r="K68" i="2"/>
  <c r="J68" i="2"/>
  <c r="I68" i="2"/>
  <c r="H68" i="2"/>
  <c r="G68" i="2"/>
  <c r="F68" i="2"/>
  <c r="E68" i="2"/>
  <c r="D68" i="2"/>
  <c r="C68" i="2"/>
  <c r="B68" i="2"/>
  <c r="N77" i="2" l="1"/>
  <c r="N68" i="2"/>
  <c r="N5" i="2"/>
  <c r="N8" i="2" s="1"/>
  <c r="N6" i="2"/>
  <c r="N7" i="2"/>
  <c r="B8" i="2"/>
  <c r="C8" i="2"/>
  <c r="D8" i="2"/>
  <c r="E8" i="2"/>
  <c r="F8" i="2"/>
  <c r="G8" i="2"/>
  <c r="H8" i="2"/>
  <c r="I8" i="2"/>
  <c r="J8" i="2"/>
  <c r="K8" i="2"/>
  <c r="L8" i="2"/>
  <c r="M8" i="2"/>
  <c r="N14" i="2"/>
  <c r="N17" i="2" s="1"/>
  <c r="N15" i="2"/>
  <c r="N16" i="2"/>
  <c r="B17" i="2"/>
  <c r="C17" i="2"/>
  <c r="D17" i="2"/>
  <c r="E17" i="2"/>
  <c r="F17" i="2"/>
  <c r="G17" i="2"/>
  <c r="H17" i="2"/>
  <c r="I17" i="2"/>
  <c r="J17" i="2"/>
  <c r="K17" i="2"/>
  <c r="L17" i="2"/>
  <c r="M17" i="2"/>
  <c r="N25" i="2"/>
  <c r="N28" i="2" s="1"/>
  <c r="N26" i="2"/>
  <c r="N27" i="2"/>
  <c r="B28" i="2"/>
  <c r="C28" i="2"/>
  <c r="D28" i="2"/>
  <c r="E28" i="2"/>
  <c r="F28" i="2"/>
  <c r="G28" i="2"/>
  <c r="H28" i="2"/>
  <c r="I28" i="2"/>
  <c r="J28" i="2"/>
  <c r="K28" i="2"/>
  <c r="L28" i="2"/>
  <c r="M28" i="2"/>
  <c r="N34" i="2"/>
  <c r="N37" i="2" s="1"/>
  <c r="N35" i="2"/>
  <c r="N36" i="2"/>
  <c r="B37" i="2"/>
  <c r="C37" i="2"/>
  <c r="D37" i="2"/>
  <c r="E37" i="2"/>
  <c r="F37" i="2"/>
  <c r="G37" i="2"/>
  <c r="H37" i="2"/>
  <c r="I37" i="2"/>
  <c r="J37" i="2"/>
  <c r="K37" i="2"/>
  <c r="L37" i="2"/>
  <c r="M37" i="2"/>
  <c r="N45" i="2"/>
  <c r="N48" i="2" s="1"/>
  <c r="N46" i="2"/>
  <c r="N47" i="2"/>
  <c r="B48" i="2"/>
  <c r="C48" i="2"/>
  <c r="D48" i="2"/>
  <c r="E48" i="2"/>
  <c r="F48" i="2"/>
  <c r="G48" i="2"/>
  <c r="H48" i="2"/>
  <c r="I48" i="2"/>
  <c r="J48" i="2"/>
  <c r="K48" i="2"/>
  <c r="L48" i="2"/>
  <c r="M48" i="2"/>
  <c r="N54" i="2"/>
  <c r="N57" i="2" s="1"/>
  <c r="N55" i="2"/>
  <c r="N56" i="2"/>
  <c r="B57" i="2"/>
  <c r="C57" i="2"/>
  <c r="D57" i="2"/>
  <c r="E57" i="2"/>
  <c r="F57" i="2"/>
  <c r="G57" i="2"/>
  <c r="H57" i="2"/>
  <c r="I57" i="2"/>
  <c r="J57" i="2"/>
  <c r="K57" i="2"/>
  <c r="L57" i="2"/>
  <c r="M57" i="2"/>
  <c r="N51" i="1" l="1"/>
  <c r="N50" i="1"/>
  <c r="N49" i="1"/>
  <c r="N48" i="1"/>
  <c r="N47" i="1"/>
  <c r="K51" i="1"/>
  <c r="K50" i="1"/>
  <c r="K49" i="1"/>
  <c r="K48" i="1"/>
  <c r="K47" i="1"/>
  <c r="H51" i="1"/>
  <c r="H50" i="1"/>
  <c r="H49" i="1"/>
  <c r="H48" i="1"/>
  <c r="H47" i="1"/>
  <c r="E51" i="1"/>
  <c r="E50" i="1"/>
  <c r="E49" i="1"/>
  <c r="B47" i="1"/>
  <c r="I40" i="1" l="1"/>
  <c r="G40" i="1"/>
  <c r="I19" i="1"/>
  <c r="G19" i="1"/>
  <c r="I11" i="1"/>
  <c r="G11" i="1"/>
  <c r="N19" i="1" l="1"/>
  <c r="N40" i="1"/>
  <c r="N11" i="1"/>
  <c r="I39" i="1"/>
  <c r="G39" i="1"/>
  <c r="I23" i="1"/>
  <c r="G23" i="1"/>
  <c r="I22" i="1"/>
  <c r="G22" i="1"/>
  <c r="I21" i="1"/>
  <c r="G21" i="1"/>
  <c r="I13" i="1"/>
  <c r="G13" i="1"/>
  <c r="I12" i="1"/>
  <c r="G12" i="1"/>
  <c r="I10" i="1"/>
  <c r="G10" i="1"/>
  <c r="N39" i="1" l="1"/>
  <c r="N20" i="1"/>
  <c r="N21" i="1"/>
  <c r="N13" i="1"/>
  <c r="G43" i="1"/>
  <c r="G38" i="1"/>
  <c r="N22" i="1"/>
  <c r="N23" i="1"/>
  <c r="N12" i="1"/>
  <c r="N10" i="1"/>
  <c r="I8" i="1"/>
  <c r="G8" i="1"/>
  <c r="I7" i="1"/>
  <c r="G7" i="1"/>
  <c r="I6" i="1"/>
  <c r="G6" i="1"/>
  <c r="I5" i="1"/>
  <c r="G5" i="1"/>
  <c r="G4" i="1" l="1"/>
  <c r="S51" i="1" l="1"/>
  <c r="G61" i="1" l="1"/>
  <c r="G60" i="1"/>
  <c r="G18" i="1"/>
  <c r="G9" i="1"/>
  <c r="G59" i="1" l="1"/>
  <c r="G46" i="1"/>
  <c r="P34" i="1" l="1"/>
  <c r="H35" i="1"/>
  <c r="H34" i="1"/>
  <c r="H36" i="1"/>
  <c r="H18" i="1"/>
  <c r="H46" i="1"/>
  <c r="P10" i="1"/>
  <c r="H43" i="1"/>
  <c r="H5" i="1"/>
  <c r="P19" i="1"/>
  <c r="H13" i="1"/>
  <c r="H31" i="1"/>
  <c r="P43" i="1"/>
  <c r="H20" i="1"/>
  <c r="H6" i="1"/>
  <c r="P5" i="1"/>
  <c r="H11" i="1"/>
  <c r="H23" i="1"/>
  <c r="H8" i="1"/>
  <c r="H10" i="1"/>
  <c r="H40" i="1"/>
  <c r="P39" i="1"/>
  <c r="H12" i="1"/>
  <c r="H38" i="1"/>
  <c r="H9" i="1"/>
  <c r="H21" i="1"/>
  <c r="H16" i="1"/>
  <c r="P44" i="1"/>
  <c r="H19" i="1"/>
  <c r="H7" i="1"/>
  <c r="H33" i="1"/>
  <c r="G62" i="1"/>
  <c r="H39" i="1"/>
  <c r="H42" i="1"/>
  <c r="H32" i="1"/>
  <c r="H41" i="1"/>
  <c r="P31" i="1"/>
  <c r="H28" i="1"/>
  <c r="H22" i="1"/>
  <c r="H4" i="1"/>
  <c r="P46" i="1" l="1"/>
  <c r="H61" i="1"/>
  <c r="H60" i="1"/>
  <c r="R43" i="1"/>
  <c r="R46" i="1"/>
  <c r="H59" i="1"/>
  <c r="H62" i="1" l="1"/>
  <c r="G61" i="3" l="1"/>
  <c r="G63" i="3" s="1"/>
  <c r="G47" i="3"/>
  <c r="H29" i="3" l="1"/>
  <c r="S52" i="3"/>
  <c r="P35" i="3"/>
  <c r="P40" i="3"/>
  <c r="H32" i="3"/>
  <c r="H44" i="3"/>
  <c r="H34" i="3"/>
  <c r="H8" i="3"/>
  <c r="H35" i="3"/>
  <c r="H41" i="3"/>
  <c r="H13" i="3"/>
  <c r="P44" i="3"/>
  <c r="H62" i="3"/>
  <c r="H61" i="3"/>
  <c r="H60" i="3"/>
  <c r="H63" i="3" s="1"/>
  <c r="H37" i="3"/>
  <c r="H7" i="3"/>
  <c r="P45" i="3"/>
  <c r="H4" i="3"/>
  <c r="H39" i="3"/>
  <c r="H23" i="3"/>
  <c r="H42" i="3"/>
  <c r="H20" i="3"/>
  <c r="H17" i="3"/>
  <c r="H36" i="3"/>
  <c r="H9" i="3"/>
  <c r="P5" i="3"/>
  <c r="H11" i="3"/>
  <c r="H6" i="3"/>
  <c r="H21" i="3"/>
  <c r="P20" i="3"/>
  <c r="H5" i="3"/>
  <c r="H43" i="3"/>
  <c r="H10" i="3"/>
  <c r="H22" i="3"/>
  <c r="H33" i="3"/>
  <c r="H12" i="3"/>
  <c r="H47" i="3"/>
  <c r="P10" i="3"/>
  <c r="H19" i="3"/>
  <c r="P32" i="3"/>
  <c r="H14" i="3"/>
  <c r="H40" i="3"/>
  <c r="H24" i="3"/>
  <c r="P47" i="3" l="1"/>
  <c r="R44" i="3"/>
  <c r="R47" i="3"/>
  <c r="S53" i="3" l="1"/>
  <c r="S54" i="3" s="1"/>
  <c r="S52" i="1" l="1"/>
  <c r="S53" i="1" s="1"/>
  <c r="S53" i="4" l="1"/>
  <c r="S54" i="4" s="1"/>
  <c r="S54" i="5" l="1"/>
  <c r="S55" i="5" s="1"/>
  <c r="S57" i="7" l="1"/>
  <c r="G67" i="7" l="1"/>
  <c r="H66" i="7" s="1"/>
  <c r="H64" i="7"/>
  <c r="G51" i="7"/>
  <c r="H8" i="7" s="1"/>
  <c r="P38" i="7" l="1"/>
  <c r="H38" i="7"/>
  <c r="H65" i="7"/>
  <c r="H67" i="7" s="1"/>
  <c r="P43" i="7"/>
  <c r="P24" i="7"/>
  <c r="H44" i="7"/>
  <c r="H24" i="7"/>
  <c r="H10" i="7"/>
  <c r="H23" i="7"/>
  <c r="H43" i="7"/>
  <c r="H19" i="7"/>
  <c r="H15" i="7"/>
  <c r="P49" i="7"/>
  <c r="H39" i="7"/>
  <c r="H5" i="7"/>
  <c r="H31" i="7"/>
  <c r="H9" i="7"/>
  <c r="H14" i="7"/>
  <c r="H12" i="7"/>
  <c r="H40" i="7"/>
  <c r="H25" i="7"/>
  <c r="P10" i="7"/>
  <c r="H42" i="7"/>
  <c r="H11" i="7"/>
  <c r="H37" i="7"/>
  <c r="H18" i="7"/>
  <c r="P48" i="7"/>
  <c r="H6" i="7"/>
  <c r="H13" i="7"/>
  <c r="H21" i="7"/>
  <c r="H36" i="7"/>
  <c r="H26" i="7"/>
  <c r="H4" i="7"/>
  <c r="P5" i="7"/>
  <c r="H34" i="7"/>
  <c r="H46" i="7"/>
  <c r="H35" i="7"/>
  <c r="H45" i="7"/>
  <c r="H47" i="7"/>
  <c r="P34" i="7"/>
  <c r="S56" i="7"/>
  <c r="S58" i="7" s="1"/>
  <c r="H7" i="7"/>
  <c r="H51" i="7"/>
  <c r="H20" i="7"/>
  <c r="H48" i="7"/>
  <c r="R48" i="7" l="1"/>
  <c r="R51" i="7"/>
  <c r="P51" i="7"/>
  <c r="P19" i="7"/>
  <c r="S58" i="8" l="1"/>
  <c r="G52" i="8" l="1"/>
  <c r="H23" i="8" s="1"/>
  <c r="G65" i="8"/>
  <c r="G68" i="8" s="1"/>
  <c r="H65" i="8" s="1"/>
  <c r="H40" i="8" l="1"/>
  <c r="H9" i="8"/>
  <c r="P5" i="8"/>
  <c r="S57" i="8"/>
  <c r="S59" i="8" s="1"/>
  <c r="H67" i="8"/>
  <c r="H45" i="8"/>
  <c r="H37" i="8"/>
  <c r="P11" i="8"/>
  <c r="H66" i="8"/>
  <c r="H12" i="8"/>
  <c r="H24" i="8"/>
  <c r="H48" i="8"/>
  <c r="H47" i="8"/>
  <c r="H52" i="8"/>
  <c r="H16" i="8"/>
  <c r="P39" i="8"/>
  <c r="H44" i="8"/>
  <c r="P24" i="8"/>
  <c r="H41" i="8"/>
  <c r="H14" i="8"/>
  <c r="P35" i="8"/>
  <c r="H20" i="8"/>
  <c r="H4" i="8"/>
  <c r="H13" i="8"/>
  <c r="H21" i="8"/>
  <c r="H27" i="8"/>
  <c r="H39" i="8"/>
  <c r="H35" i="8"/>
  <c r="H26" i="8"/>
  <c r="H36" i="8"/>
  <c r="H6" i="8"/>
  <c r="H43" i="8"/>
  <c r="H17" i="8"/>
  <c r="H10" i="8"/>
  <c r="H46" i="8"/>
  <c r="P44" i="8"/>
  <c r="H5" i="8"/>
  <c r="H8" i="8"/>
  <c r="H32" i="8"/>
  <c r="H7" i="8"/>
  <c r="P49" i="8"/>
  <c r="H25" i="8"/>
  <c r="H15" i="8"/>
  <c r="H38" i="8"/>
  <c r="H49" i="8"/>
  <c r="H11" i="8"/>
  <c r="P50" i="8"/>
  <c r="H68" i="8" l="1"/>
  <c r="P52" i="8"/>
  <c r="R49" i="8"/>
  <c r="R52" i="8"/>
  <c r="G57" i="6" l="1"/>
  <c r="G55" i="5" l="1"/>
  <c r="M63" i="5" l="1"/>
  <c r="M62" i="3"/>
  <c r="M67" i="8"/>
  <c r="M62" i="4"/>
  <c r="M66" i="7"/>
  <c r="M65" i="6"/>
  <c r="M65" i="8"/>
  <c r="M64" i="7"/>
  <c r="M60" i="4"/>
  <c r="M61" i="5"/>
  <c r="M60" i="3"/>
  <c r="M63" i="6"/>
  <c r="M61" i="3"/>
  <c r="M62" i="5"/>
  <c r="M65" i="7"/>
  <c r="M66" i="8"/>
  <c r="M61" i="4"/>
  <c r="M64" i="6"/>
  <c r="M68" i="8" l="1"/>
  <c r="N67" i="8" s="1"/>
  <c r="N65" i="8"/>
  <c r="M66" i="6"/>
  <c r="N64" i="6" s="1"/>
  <c r="N63" i="6"/>
  <c r="N62" i="4"/>
  <c r="M67" i="7"/>
  <c r="N65" i="7" s="1"/>
  <c r="M63" i="3"/>
  <c r="N60" i="3" s="1"/>
  <c r="M64" i="5"/>
  <c r="N63" i="5" s="1"/>
  <c r="N62" i="3"/>
  <c r="N65" i="6"/>
  <c r="N61" i="3"/>
  <c r="M63" i="4"/>
  <c r="N61" i="4" s="1"/>
  <c r="N61" i="5" l="1"/>
  <c r="N66" i="6"/>
  <c r="N66" i="7"/>
  <c r="N63" i="3"/>
  <c r="N62" i="5"/>
  <c r="N64" i="5" s="1"/>
  <c r="N68" i="8"/>
  <c r="N60" i="4"/>
  <c r="N63" i="4" s="1"/>
  <c r="N64" i="7"/>
  <c r="N66" i="8"/>
  <c r="N67" i="7" l="1"/>
  <c r="M61" i="1" l="1"/>
  <c r="G54" i="3" l="1"/>
  <c r="G54" i="4" l="1"/>
  <c r="M60" i="1" l="1"/>
  <c r="M59" i="1" l="1"/>
  <c r="M62" i="1" l="1"/>
  <c r="N59" i="1" s="1"/>
  <c r="N61" i="1" l="1"/>
  <c r="N60" i="1"/>
  <c r="G53" i="1"/>
  <c r="N62" i="1" l="1"/>
  <c r="G58" i="7" l="1"/>
  <c r="G59" i="8" l="1"/>
</calcChain>
</file>

<file path=xl/sharedStrings.xml><?xml version="1.0" encoding="utf-8"?>
<sst xmlns="http://schemas.openxmlformats.org/spreadsheetml/2006/main" count="1640" uniqueCount="198">
  <si>
    <t>INSTITUIÇÕES</t>
  </si>
  <si>
    <t>BCO - AG - C/C</t>
  </si>
  <si>
    <t>FUNDOS / CNPJ</t>
  </si>
  <si>
    <t>Resgate</t>
  </si>
  <si>
    <t>VLR. APLICADO</t>
  </si>
  <si>
    <t>Rentabilidade</t>
  </si>
  <si>
    <t>Limites</t>
  </si>
  <si>
    <t>SEGMENTO / CATEGORIA</t>
  </si>
  <si>
    <t>Limite</t>
  </si>
  <si>
    <t>NORMA</t>
  </si>
  <si>
    <t>FFINPREV</t>
  </si>
  <si>
    <t>Nominal</t>
  </si>
  <si>
    <t>% Patr</t>
  </si>
  <si>
    <t>Mês</t>
  </si>
  <si>
    <t>Exercicio</t>
  </si>
  <si>
    <t>% Bechmark ano</t>
  </si>
  <si>
    <t>PL do Fundo</t>
  </si>
  <si>
    <t>%</t>
  </si>
  <si>
    <t>Aplic. X Lei X PI</t>
  </si>
  <si>
    <t>Enquadr.Resol.3922/2010</t>
  </si>
  <si>
    <t>Custódia</t>
  </si>
  <si>
    <t>IPCA + 6,599092  % aa</t>
  </si>
  <si>
    <t>IPCA + 6,35 % aa</t>
  </si>
  <si>
    <t>IPCA + 7,484 % aa</t>
  </si>
  <si>
    <t>033 - 0060 - 45.000479-9</t>
  </si>
  <si>
    <t>D+0</t>
  </si>
  <si>
    <t>D+1</t>
  </si>
  <si>
    <t>do IMA-B</t>
  </si>
  <si>
    <t>Renda Fixa TP</t>
  </si>
  <si>
    <t>001 - 0427 - 48137-8</t>
  </si>
  <si>
    <t>BB Previd RF IRF-M  - 07.111.384/0001-69</t>
  </si>
  <si>
    <t>do IRF-M</t>
  </si>
  <si>
    <t>D+4</t>
  </si>
  <si>
    <t>104 - 2700 - 006.00000068-0</t>
  </si>
  <si>
    <t>do IMA-B5</t>
  </si>
  <si>
    <t>FI  IRF-M  RF LP - 14.508.605/0001-00</t>
  </si>
  <si>
    <t>Renda Fixa</t>
  </si>
  <si>
    <t>BB Previd RF IMA-B5  - 03.543.447/0001-03</t>
  </si>
  <si>
    <t>238 - 0109 - 385300-4</t>
  </si>
  <si>
    <t>Bradesco FIC FI RF - IMA-B5 - 20.216.216/0001-04</t>
  </si>
  <si>
    <t>033 - 0060 - 45000479-9</t>
  </si>
  <si>
    <r>
      <t>FIC Corporate RF Ref DI - 03.069.104/0001-40</t>
    </r>
    <r>
      <rPr>
        <sz val="11"/>
        <color theme="1"/>
        <rFont val="Calibri"/>
        <family val="2"/>
        <scheme val="minor"/>
      </rPr>
      <t/>
    </r>
  </si>
  <si>
    <t>D + 0</t>
  </si>
  <si>
    <t>do CDI</t>
  </si>
  <si>
    <t>Instit ALOC DIN RF FIC  - 21.838.150/0001-49</t>
  </si>
  <si>
    <t>IPCA</t>
  </si>
  <si>
    <t>do IBOV</t>
  </si>
  <si>
    <t>Renda Variável</t>
  </si>
  <si>
    <t>422 - 02700 -020584-5</t>
  </si>
  <si>
    <t>FIC FIA Small Cap - 11.392.165/0001-72</t>
  </si>
  <si>
    <t>D+27</t>
  </si>
  <si>
    <t>D+28</t>
  </si>
  <si>
    <t>IDIV</t>
  </si>
  <si>
    <t>WA US Index 500 CNPJ 17.453.850/0001-48</t>
  </si>
  <si>
    <t>CDI</t>
  </si>
  <si>
    <r>
      <t>Capital Protegido Ibov FIM - 26.470.464/0001-55</t>
    </r>
    <r>
      <rPr>
        <sz val="11"/>
        <color theme="1"/>
        <rFont val="Calibri"/>
        <family val="2"/>
        <scheme val="minor"/>
      </rPr>
      <t/>
    </r>
  </si>
  <si>
    <t>D+360</t>
  </si>
  <si>
    <t xml:space="preserve">Disponibilidade de Caixa </t>
  </si>
  <si>
    <t>Disponibilidade</t>
  </si>
  <si>
    <t>TOTAL DE ATIVOS</t>
  </si>
  <si>
    <t>IBOVESPA</t>
  </si>
  <si>
    <t>IFIX</t>
  </si>
  <si>
    <t>IRF-M</t>
  </si>
  <si>
    <t>IBrX</t>
  </si>
  <si>
    <t>IMA-B</t>
  </si>
  <si>
    <t>IRFM 1</t>
  </si>
  <si>
    <t xml:space="preserve">Meta Atuarial - Ano </t>
  </si>
  <si>
    <t>INPC</t>
  </si>
  <si>
    <t>IBrX50</t>
  </si>
  <si>
    <t>IMA-G</t>
  </si>
  <si>
    <t>IRFM 1+</t>
  </si>
  <si>
    <t>SMLL</t>
  </si>
  <si>
    <t>IMA-B 5</t>
  </si>
  <si>
    <t>IMA- C</t>
  </si>
  <si>
    <t>Meta Atuarial - 12 Meses</t>
  </si>
  <si>
    <t>IMA-B 5+</t>
  </si>
  <si>
    <t>IMA-S</t>
  </si>
  <si>
    <t xml:space="preserve"> </t>
  </si>
  <si>
    <t>Total FFIN2 + FFINPrev</t>
  </si>
  <si>
    <t>Consolidado</t>
  </si>
  <si>
    <t>rentabilidade no mês</t>
  </si>
  <si>
    <t>Disponibilidade Caixa</t>
  </si>
  <si>
    <t>Disponibilidade de Caixa</t>
  </si>
  <si>
    <t>Total Geral</t>
  </si>
  <si>
    <t>Títulos Públicos - Art. 7º, Inciso I, Alínea A</t>
  </si>
  <si>
    <t>Fundos Referenciados Renda Fixa  que contenham somente TP - Art. 7º, Inciso I, Alínea B</t>
  </si>
  <si>
    <t>Art. 7º, Inciso I, Alínea C</t>
  </si>
  <si>
    <t>Operações Compromissadas Lastreadas Exclusivamente em TP - Art. 7º, Inciso II</t>
  </si>
  <si>
    <t>Art. 7º, Inciso II</t>
  </si>
  <si>
    <t>Fundos  Renda Fixa  "Referenciados"  - Art. 7º, Inciso III, Alínea "A"</t>
  </si>
  <si>
    <t xml:space="preserve">Renda Fixa </t>
  </si>
  <si>
    <t>Fundos de Índice ETF  Renda Fixa  que contenham somente TP - Art. 7º, Inciso I, Alínea C</t>
  </si>
  <si>
    <t>Fundos de Renda Fixa  Geral - Art. 7º, Inciso IV, Alínea "A"</t>
  </si>
  <si>
    <t>Fundos de Índice ETF  Renda Fixa  - Demais Índices - Art. 7º, Inciso IV, Alínea "B"</t>
  </si>
  <si>
    <t>Art. 7º, Inciso IV, Alínea "B"</t>
  </si>
  <si>
    <t>Art. 7º, Inciso III,  Alínea "B"</t>
  </si>
  <si>
    <t>Fundos de Índice ETF  Renda Fixa  - Art. 7º, Inciso III,  Alínea B</t>
  </si>
  <si>
    <t>Letras Imobiliárias Garantida - Art. 7º, Inciso V, Alínea "B"</t>
  </si>
  <si>
    <t>Art. 7º, Inciso V, Alínea "B"</t>
  </si>
  <si>
    <t>Certificados de Depósitos Bancários - CDB - Art. 7º, Inciso VI, Alínea "A"</t>
  </si>
  <si>
    <t>Poupança - Art. 7º, Inciso VI, Alínea "B"</t>
  </si>
  <si>
    <t>Art. 7º, Inciso VI, Alínea "A"</t>
  </si>
  <si>
    <t>Art. 7º, Inciso VI, Alínea "B"</t>
  </si>
  <si>
    <t>FIDC Cotas Sênior -Art. 7º, Inciso VII, Alínea "A"</t>
  </si>
  <si>
    <t>Fundos Renda Fixa Crédito Privado - Art. 7º, Inciso VII, Alínea "B"</t>
  </si>
  <si>
    <t>Fundos de Debêntures de Infraestrutura -Art. 7º, Inciso VII, Alínea "C"</t>
  </si>
  <si>
    <t>Art. 7º, Inciso VII, Alínea "B"</t>
  </si>
  <si>
    <t>Art. 7º, Inciso VII, Alínea "C"</t>
  </si>
  <si>
    <t>Fundo de Ações Referenciado -  Art. 8º, Inciso I, Alínea "A"</t>
  </si>
  <si>
    <t>Fundo de Ações Abertos -  Art. 8º, Inciso II, Alínea "A"</t>
  </si>
  <si>
    <t>Artigo 8º, Inciso II, Alínea "B"</t>
  </si>
  <si>
    <t>Fundo de  Índices ETF Referenciado - Art. 8º, Inciso I, Alínea "B"</t>
  </si>
  <si>
    <t>Fundo de  Índices ETF Abertosd -  Art. 8º, Inciso II, Alínea "B"</t>
  </si>
  <si>
    <t>Fundos  Multimercados - Art. 8º, Inciso III</t>
  </si>
  <si>
    <t>Fundo de Participações - FIP - Art. 8º, Inciso IV, Alínea "A"</t>
  </si>
  <si>
    <t>Fundo Imobiliário FII - Art. 8º, Inciso IV, Alínea "B"</t>
  </si>
  <si>
    <t>NTN-B (ipca) venc 15/05/2019 -  4.000</t>
  </si>
  <si>
    <t>NTN-B (ipca) venc 15/05/2023 - 2.000</t>
  </si>
  <si>
    <t>NTN-B (ipca) venc 15/05/2026 - 3.400</t>
  </si>
  <si>
    <t>IPCA + 6,248 % aa</t>
  </si>
  <si>
    <t>NTN-B (ipca) venc 15/05/2035 - 3.200</t>
  </si>
  <si>
    <r>
      <t xml:space="preserve">CEFederal  (custodiante) </t>
    </r>
    <r>
      <rPr>
        <sz val="8"/>
        <color rgb="FF00B0F0"/>
        <rFont val="Arial"/>
        <family val="2"/>
      </rPr>
      <t>FFINPREV</t>
    </r>
  </si>
  <si>
    <r>
      <t xml:space="preserve">CEFederal  (custodiante)  </t>
    </r>
    <r>
      <rPr>
        <sz val="8"/>
        <color rgb="FF00B0F0"/>
        <rFont val="Arial"/>
        <family val="2"/>
      </rPr>
      <t>FFINPREV</t>
    </r>
  </si>
  <si>
    <r>
      <t xml:space="preserve">Bco do Brasil- </t>
    </r>
    <r>
      <rPr>
        <sz val="8"/>
        <color rgb="FF00B0F0"/>
        <rFont val="Arial"/>
        <family val="2"/>
      </rPr>
      <t>FFINPREV</t>
    </r>
  </si>
  <si>
    <r>
      <t xml:space="preserve">CEF </t>
    </r>
    <r>
      <rPr>
        <sz val="12"/>
        <color rgb="FF00B0F0"/>
        <rFont val="Arial"/>
        <family val="2"/>
      </rPr>
      <t>FFINPREV</t>
    </r>
  </si>
  <si>
    <t>CX FI Brasil IMA-B5 TPRF - 11.060.913/0001-10</t>
  </si>
  <si>
    <r>
      <t xml:space="preserve">Bradesco </t>
    </r>
    <r>
      <rPr>
        <sz val="12"/>
        <color rgb="FF00B0F0"/>
        <rFont val="Arial"/>
        <family val="2"/>
      </rPr>
      <t>FFINPREV</t>
    </r>
  </si>
  <si>
    <r>
      <t>CEF</t>
    </r>
    <r>
      <rPr>
        <sz val="12"/>
        <color rgb="FF00B0F0"/>
        <rFont val="Arial"/>
        <family val="2"/>
      </rPr>
      <t xml:space="preserve"> FFINPREV</t>
    </r>
  </si>
  <si>
    <t>105 - 2700 - 006.00000068-0</t>
  </si>
  <si>
    <t>Novo Brasil IMA-B RF - 10.646.895/0001-90</t>
  </si>
  <si>
    <r>
      <t xml:space="preserve">ITAÚ </t>
    </r>
    <r>
      <rPr>
        <sz val="12"/>
        <color rgb="FF00B0F0"/>
        <rFont val="Arial"/>
        <family val="2"/>
      </rPr>
      <t xml:space="preserve"> FFINPREV</t>
    </r>
  </si>
  <si>
    <r>
      <t xml:space="preserve">ITAÚ </t>
    </r>
    <r>
      <rPr>
        <sz val="12"/>
        <color theme="3" tint="0.39997558519241921"/>
        <rFont val="Arial"/>
        <family val="2"/>
      </rPr>
      <t xml:space="preserve"> </t>
    </r>
    <r>
      <rPr>
        <sz val="12"/>
        <color rgb="FF00B0F0"/>
        <rFont val="Arial"/>
        <family val="2"/>
      </rPr>
      <t>FFINPREV</t>
    </r>
  </si>
  <si>
    <t>35 - 0060 - 45.000479-9</t>
  </si>
  <si>
    <t>Soberano RF Simples   - 06.175.696/0001-74</t>
  </si>
  <si>
    <r>
      <t xml:space="preserve">AZQUEST </t>
    </r>
    <r>
      <rPr>
        <sz val="12"/>
        <color rgb="FF00B0F0"/>
        <rFont val="Arial"/>
        <family val="2"/>
      </rPr>
      <t>FFINPREV</t>
    </r>
  </si>
  <si>
    <t>do SMLL</t>
  </si>
  <si>
    <t>FIC FIA aÇÕES - 07.279.657/0001-89</t>
  </si>
  <si>
    <r>
      <t xml:space="preserve">XP Investimentos </t>
    </r>
    <r>
      <rPr>
        <sz val="10"/>
        <color rgb="FF00B0F0"/>
        <rFont val="Arial"/>
        <family val="2"/>
      </rPr>
      <t>FFPREV</t>
    </r>
  </si>
  <si>
    <t>do IDIV</t>
  </si>
  <si>
    <r>
      <t xml:space="preserve">Western Asset </t>
    </r>
    <r>
      <rPr>
        <sz val="12"/>
        <color rgb="FF00B0F0"/>
        <rFont val="Arial"/>
        <family val="2"/>
      </rPr>
      <t>FFINPREV</t>
    </r>
  </si>
  <si>
    <r>
      <t xml:space="preserve">Bco do Brasil </t>
    </r>
    <r>
      <rPr>
        <sz val="12"/>
        <color rgb="FF00B0F0"/>
        <rFont val="Arial"/>
        <family val="2"/>
      </rPr>
      <t>FFINPREV</t>
    </r>
  </si>
  <si>
    <r>
      <t xml:space="preserve">Santander </t>
    </r>
    <r>
      <rPr>
        <sz val="12"/>
        <color rgb="FF00B0F0"/>
        <rFont val="Arial"/>
        <family val="2"/>
      </rPr>
      <t>FFPREV</t>
    </r>
  </si>
  <si>
    <r>
      <t xml:space="preserve">SBCPREV -  </t>
    </r>
    <r>
      <rPr>
        <b/>
        <sz val="12"/>
        <color rgb="FFFF0000"/>
        <rFont val="Arial"/>
        <family val="2"/>
      </rPr>
      <t>FFPREV</t>
    </r>
    <r>
      <rPr>
        <b/>
        <sz val="12"/>
        <rFont val="Arial"/>
        <family val="2"/>
      </rPr>
      <t xml:space="preserve"> - RELATÓRIO DE ENQUADRAMENTO PERANTE A RESOLUÇÃO 3.922 -   BASE: 31/01/2018</t>
    </r>
  </si>
  <si>
    <t>Disponibilidade em Caixa FFPREV(Santander)</t>
  </si>
  <si>
    <t>Disponibilidade em Caixa FFPREV( CEF)</t>
  </si>
  <si>
    <t>Artigo 8º, Inciso II, Alínea "A"</t>
  </si>
  <si>
    <t>Artigo 7º, Inciso I,  Alinea "B"</t>
  </si>
  <si>
    <t>Títulos Públicos</t>
  </si>
  <si>
    <t>Artigo 7º, Inciso I,  Alinea "A"</t>
  </si>
  <si>
    <t>Artigo 7º, Inciso IV "A"</t>
  </si>
  <si>
    <t>Renda variável</t>
  </si>
  <si>
    <t>FIP</t>
  </si>
  <si>
    <t>Artigo 8º, Inciso IV, Alínea "A"</t>
  </si>
  <si>
    <t>Imobiliário</t>
  </si>
  <si>
    <t>Artigo 8º, Inciso IV, Alínea "B"</t>
  </si>
  <si>
    <r>
      <rPr>
        <b/>
        <sz val="11"/>
        <color indexed="30"/>
        <rFont val="Arial"/>
        <family val="2"/>
      </rPr>
      <t>SUPERÁVIT</t>
    </r>
    <r>
      <rPr>
        <b/>
        <sz val="11"/>
        <rFont val="Arial"/>
        <family val="2"/>
      </rPr>
      <t xml:space="preserve"> / </t>
    </r>
    <r>
      <rPr>
        <b/>
        <sz val="11"/>
        <color indexed="10"/>
        <rFont val="Arial"/>
        <family val="2"/>
      </rPr>
      <t>DÉFICIT MENSAL</t>
    </r>
  </si>
  <si>
    <t>META ATUARIAL (INPC+6%a.a.)</t>
  </si>
  <si>
    <t>SBCPREV</t>
  </si>
  <si>
    <t>Acumulado</t>
  </si>
  <si>
    <t>ENTIDADE</t>
  </si>
  <si>
    <r>
      <rPr>
        <b/>
        <u/>
        <sz val="11"/>
        <rFont val="Arial"/>
        <family val="2"/>
      </rPr>
      <t xml:space="preserve">FFINPREV - </t>
    </r>
    <r>
      <rPr>
        <sz val="11"/>
        <rFont val="Arial"/>
        <family val="2"/>
      </rPr>
      <t>RENTABILIDADE SBCPREV x META ATUARIAL (INPC + 6%)</t>
    </r>
  </si>
  <si>
    <t>Últimos 12 meses</t>
  </si>
  <si>
    <r>
      <t>FFINPREV -</t>
    </r>
    <r>
      <rPr>
        <sz val="11"/>
        <rFont val="Arial"/>
        <family val="2"/>
      </rPr>
      <t>RENTABILIDADE SBCPREV x META ATUARIAL (INPC + 6%)</t>
    </r>
  </si>
  <si>
    <t>Exercício 2017</t>
  </si>
  <si>
    <t>Exercício 2016</t>
  </si>
  <si>
    <t>Exercício 2015</t>
  </si>
  <si>
    <t>Exercício 2018</t>
  </si>
  <si>
    <t>FFPREV - Ano</t>
  </si>
  <si>
    <t xml:space="preserve">FFPREV - 12 meses </t>
  </si>
  <si>
    <t>Rentabilidade  no mês SBCPREV  FFPREV</t>
  </si>
  <si>
    <r>
      <t xml:space="preserve">SBCPREV -  </t>
    </r>
    <r>
      <rPr>
        <b/>
        <sz val="12"/>
        <color rgb="FFFF0000"/>
        <rFont val="Arial"/>
        <family val="2"/>
      </rPr>
      <t>FFPREV</t>
    </r>
    <r>
      <rPr>
        <b/>
        <sz val="12"/>
        <rFont val="Arial"/>
        <family val="2"/>
      </rPr>
      <t xml:space="preserve"> - RELATÓRIO DE ENQUADRAMENTO PERANTE A RESOLUÇÃO 3.922 -   BASE: 28/02/2018</t>
    </r>
  </si>
  <si>
    <t>XP Dividendos FIA - 16.575.255/0001-12</t>
  </si>
  <si>
    <t>Santander</t>
  </si>
  <si>
    <r>
      <t>FIC FI  IMA-</t>
    </r>
    <r>
      <rPr>
        <b/>
        <sz val="10"/>
        <rFont val="Arial"/>
        <family val="2"/>
      </rPr>
      <t>B5</t>
    </r>
    <r>
      <rPr>
        <sz val="9"/>
        <rFont val="Arial"/>
        <family val="2"/>
      </rPr>
      <t xml:space="preserve"> Títulos Públ.- 13.455.117/0001/01</t>
    </r>
  </si>
  <si>
    <r>
      <t xml:space="preserve">SBCPREV -  </t>
    </r>
    <r>
      <rPr>
        <b/>
        <sz val="12"/>
        <color rgb="FFFF0000"/>
        <rFont val="Arial"/>
        <family val="2"/>
      </rPr>
      <t>FFPREV</t>
    </r>
    <r>
      <rPr>
        <b/>
        <sz val="12"/>
        <rFont val="Arial"/>
        <family val="2"/>
      </rPr>
      <t xml:space="preserve"> - RELATÓRIO DE ENQUADRAMENTO PERANTE A RESOLUÇÃO 3.922 -   BASE: 31/03/2018</t>
    </r>
  </si>
  <si>
    <t>FIC FIA Ações - 07.279.657/0001-89</t>
  </si>
  <si>
    <r>
      <t xml:space="preserve">SBCPREV -  </t>
    </r>
    <r>
      <rPr>
        <b/>
        <sz val="12"/>
        <color rgb="FFFF0000"/>
        <rFont val="Arial"/>
        <family val="2"/>
      </rPr>
      <t>FFPREV</t>
    </r>
    <r>
      <rPr>
        <b/>
        <sz val="12"/>
        <rFont val="Arial"/>
        <family val="2"/>
      </rPr>
      <t xml:space="preserve"> - RELATÓRIO DE ENQUADRAMENTO PERANTE A RESOLUÇÃO 3.922 -   BASE: 30/04/2018</t>
    </r>
  </si>
  <si>
    <t>34 - 0060 - 45.000479-9</t>
  </si>
  <si>
    <t xml:space="preserve"> FI  IRF-M Títulos Públ. RF - 13.455.197/0001-03</t>
  </si>
  <si>
    <t xml:space="preserve">Renda Fixa             Referenciado      </t>
  </si>
  <si>
    <t>Art. 7º, Inciso III, Alínea "A"                                  ( 15% PL do FI )</t>
  </si>
  <si>
    <t>Disponibilidade em Caixa FFPREV( CEF) + Santander</t>
  </si>
  <si>
    <t>Soberano RF Simples   - 06.175.696/0001-73</t>
  </si>
  <si>
    <r>
      <t xml:space="preserve">SBCPREV -  </t>
    </r>
    <r>
      <rPr>
        <b/>
        <sz val="12"/>
        <color rgb="FFFF0000"/>
        <rFont val="Arial"/>
        <family val="2"/>
      </rPr>
      <t>FFPREV</t>
    </r>
    <r>
      <rPr>
        <b/>
        <sz val="12"/>
        <rFont val="Arial"/>
        <family val="2"/>
      </rPr>
      <t xml:space="preserve"> - RELATÓRIO DE ENQUADRAMENTO PERANTE A RESOLUÇÃO 3.922 -   BASE: 31/05/2018</t>
    </r>
  </si>
  <si>
    <t>FIP CNPJ 27.782.774/0001-78</t>
  </si>
  <si>
    <t>Fechado</t>
  </si>
  <si>
    <r>
      <t xml:space="preserve">Kinea IV Feeder </t>
    </r>
    <r>
      <rPr>
        <sz val="11"/>
        <color rgb="FF00B0F0"/>
        <rFont val="Arial"/>
        <family val="2"/>
      </rPr>
      <t>FFPREV</t>
    </r>
  </si>
  <si>
    <t>WA IMA-B5 Ativo FI Renda Fixa CNPJ 17.517.577/0001-78</t>
  </si>
  <si>
    <r>
      <t xml:space="preserve">SBCPREV -  </t>
    </r>
    <r>
      <rPr>
        <b/>
        <sz val="12"/>
        <color rgb="FFFF0000"/>
        <rFont val="Arial"/>
        <family val="2"/>
      </rPr>
      <t>FFPREV</t>
    </r>
    <r>
      <rPr>
        <b/>
        <sz val="12"/>
        <rFont val="Arial"/>
        <family val="2"/>
      </rPr>
      <t xml:space="preserve"> - RELATÓRIO DE ENQUADRAMENTO PERANTE A RESOLUÇÃO 3.922 -   BASE: 30/06/2018</t>
    </r>
  </si>
  <si>
    <t>Disponibilidade em Caixa FFPREV( CEF + Santander + Itaú</t>
  </si>
  <si>
    <t>Instit Ações Phoenix FIA -23.731.629/0001-07</t>
  </si>
  <si>
    <t>D+21</t>
  </si>
  <si>
    <t>D+24</t>
  </si>
  <si>
    <r>
      <t xml:space="preserve">ITAÚ  </t>
    </r>
    <r>
      <rPr>
        <sz val="12"/>
        <color rgb="FF00B0F0"/>
        <rFont val="Arial"/>
        <family val="2"/>
      </rPr>
      <t xml:space="preserve"> FFINPREV</t>
    </r>
  </si>
  <si>
    <r>
      <t xml:space="preserve">SBCPREV -  </t>
    </r>
    <r>
      <rPr>
        <b/>
        <sz val="12"/>
        <color rgb="FFFF0000"/>
        <rFont val="Arial"/>
        <family val="2"/>
      </rPr>
      <t>FFPREV</t>
    </r>
    <r>
      <rPr>
        <b/>
        <sz val="12"/>
        <rFont val="Arial"/>
        <family val="2"/>
      </rPr>
      <t xml:space="preserve"> - RELATÓRIO DE ENQUADRAMENTO PERANTE A RESOLUÇÃO 3.922 -   BASE: 31/07/2018</t>
    </r>
  </si>
  <si>
    <t>IPCA + 5,688 % aa</t>
  </si>
  <si>
    <t>NTN-B (ipca) venc 15/05/2035 - 4.000</t>
  </si>
  <si>
    <r>
      <t xml:space="preserve">Santander </t>
    </r>
    <r>
      <rPr>
        <sz val="12"/>
        <color rgb="FF00B0F0"/>
        <rFont val="Arial"/>
        <family val="2"/>
      </rPr>
      <t>FFPREV-491-9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</si>
</sst>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.000000_);_(* \(#,##0.000000\);_(* &quot;-&quot;??_);_(@_)"/>
    <numFmt numFmtId="167" formatCode="_(* #,##0_);_(* \(#,##0\);_(* &quot;-&quot;??_);_(@_)"/>
    <numFmt numFmtId="168" formatCode="0.00000000"/>
    <numFmt numFmtId="169" formatCode="#,##0.00_ ;[Red]\-#,##0.00\ "/>
    <numFmt numFmtId="170" formatCode="#,##0.00000"/>
    <numFmt numFmtId="171" formatCode="0.000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9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7"/>
      <color rgb="FFFF0000"/>
      <name val="Arial"/>
      <family val="2"/>
    </font>
    <font>
      <sz val="7"/>
      <color rgb="FF0070C0"/>
      <name val="Arial"/>
      <family val="2"/>
    </font>
    <font>
      <sz val="8"/>
      <color rgb="FF00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00B0F0"/>
      <name val="Arial"/>
      <family val="2"/>
    </font>
    <font>
      <sz val="14"/>
      <name val="Arial"/>
      <family val="2"/>
    </font>
    <font>
      <sz val="12"/>
      <color rgb="FF00B0F0"/>
      <name val="Arial"/>
      <family val="2"/>
    </font>
    <font>
      <sz val="10"/>
      <color rgb="FF0070C0"/>
      <name val="Arial"/>
      <family val="2"/>
    </font>
    <font>
      <sz val="12"/>
      <color theme="3" tint="0.39997558519241921"/>
      <name val="Arial"/>
      <family val="2"/>
    </font>
    <font>
      <sz val="10"/>
      <color rgb="FF00B0F0"/>
      <name val="Arial"/>
      <family val="2"/>
    </font>
    <font>
      <b/>
      <sz val="12"/>
      <color rgb="FFFF0000"/>
      <name val="Arial"/>
      <family val="2"/>
    </font>
    <font>
      <sz val="7"/>
      <color theme="1"/>
      <name val="Calibri"/>
      <family val="2"/>
      <scheme val="minor"/>
    </font>
    <font>
      <b/>
      <sz val="11"/>
      <color rgb="FF00B0F0"/>
      <name val="Arial"/>
      <family val="2"/>
    </font>
    <font>
      <b/>
      <sz val="11"/>
      <color theme="3" tint="0.3999755851924192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11"/>
      <color theme="4" tint="-0.249977111117893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9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0" fontId="5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6" xfId="0" applyFill="1" applyBorder="1" applyAlignment="1"/>
    <xf numFmtId="0" fontId="0" fillId="0" borderId="10" xfId="0" applyFill="1" applyBorder="1" applyAlignment="1"/>
    <xf numFmtId="0" fontId="6" fillId="0" borderId="7" xfId="0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/>
    </xf>
    <xf numFmtId="10" fontId="10" fillId="0" borderId="14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4" fontId="11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0" fontId="13" fillId="0" borderId="2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>
      <alignment horizontal="center" vertical="center"/>
    </xf>
    <xf numFmtId="165" fontId="13" fillId="0" borderId="15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14" fillId="0" borderId="18" xfId="0" applyFont="1" applyFill="1" applyBorder="1"/>
    <xf numFmtId="0" fontId="15" fillId="0" borderId="19" xfId="0" applyFont="1" applyFill="1" applyBorder="1"/>
    <xf numFmtId="0" fontId="16" fillId="0" borderId="19" xfId="0" applyFont="1" applyFill="1" applyBorder="1"/>
    <xf numFmtId="166" fontId="18" fillId="0" borderId="0" xfId="1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18" fillId="0" borderId="0" xfId="1" applyNumberFormat="1" applyFont="1" applyFill="1" applyAlignment="1">
      <alignment horizontal="right"/>
    </xf>
    <xf numFmtId="0" fontId="15" fillId="0" borderId="30" xfId="0" applyFont="1" applyFill="1" applyBorder="1"/>
    <xf numFmtId="0" fontId="16" fillId="0" borderId="21" xfId="0" applyFont="1" applyFill="1" applyBorder="1"/>
    <xf numFmtId="10" fontId="13" fillId="0" borderId="32" xfId="2" applyNumberFormat="1" applyFont="1" applyFill="1" applyBorder="1" applyAlignment="1">
      <alignment horizontal="center"/>
    </xf>
    <xf numFmtId="10" fontId="13" fillId="0" borderId="33" xfId="2" applyNumberFormat="1" applyFont="1" applyFill="1" applyBorder="1" applyAlignment="1">
      <alignment horizontal="center"/>
    </xf>
    <xf numFmtId="10" fontId="13" fillId="0" borderId="0" xfId="1" applyNumberFormat="1" applyFont="1" applyFill="1" applyBorder="1" applyAlignment="1"/>
    <xf numFmtId="10" fontId="13" fillId="0" borderId="38" xfId="2" applyNumberFormat="1" applyFont="1" applyFill="1" applyBorder="1" applyAlignment="1">
      <alignment horizontal="center"/>
    </xf>
    <xf numFmtId="0" fontId="16" fillId="0" borderId="42" xfId="0" applyFont="1" applyFill="1" applyBorder="1"/>
    <xf numFmtId="0" fontId="16" fillId="0" borderId="10" xfId="0" applyFont="1" applyFill="1" applyBorder="1"/>
    <xf numFmtId="0" fontId="16" fillId="0" borderId="30" xfId="0" applyFont="1" applyFill="1" applyBorder="1"/>
    <xf numFmtId="10" fontId="13" fillId="0" borderId="44" xfId="2" applyNumberFormat="1" applyFont="1" applyFill="1" applyBorder="1" applyAlignment="1">
      <alignment horizontal="center"/>
    </xf>
    <xf numFmtId="166" fontId="18" fillId="0" borderId="0" xfId="0" applyNumberFormat="1" applyFont="1" applyFill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0" fontId="15" fillId="0" borderId="50" xfId="0" applyFont="1" applyFill="1" applyBorder="1"/>
    <xf numFmtId="0" fontId="14" fillId="0" borderId="52" xfId="0" applyFont="1" applyFill="1" applyBorder="1"/>
    <xf numFmtId="0" fontId="15" fillId="0" borderId="10" xfId="0" applyFont="1" applyFill="1" applyBorder="1"/>
    <xf numFmtId="0" fontId="10" fillId="0" borderId="2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10" fontId="13" fillId="0" borderId="54" xfId="2" applyNumberFormat="1" applyFont="1" applyFill="1" applyBorder="1" applyAlignment="1">
      <alignment horizontal="center"/>
    </xf>
    <xf numFmtId="165" fontId="6" fillId="0" borderId="34" xfId="2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10" fontId="13" fillId="0" borderId="0" xfId="2" applyNumberFormat="1" applyFont="1" applyFill="1" applyBorder="1" applyAlignment="1">
      <alignment horizontal="center"/>
    </xf>
    <xf numFmtId="0" fontId="14" fillId="0" borderId="58" xfId="0" applyFont="1" applyFill="1" applyBorder="1"/>
    <xf numFmtId="0" fontId="10" fillId="0" borderId="63" xfId="0" applyFont="1" applyFill="1" applyBorder="1" applyAlignment="1">
      <alignment horizontal="center"/>
    </xf>
    <xf numFmtId="10" fontId="13" fillId="0" borderId="64" xfId="2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right"/>
    </xf>
    <xf numFmtId="10" fontId="1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5" fillId="0" borderId="21" xfId="0" applyFont="1" applyFill="1" applyBorder="1"/>
    <xf numFmtId="0" fontId="6" fillId="0" borderId="21" xfId="0" applyFont="1" applyFill="1" applyBorder="1"/>
    <xf numFmtId="164" fontId="16" fillId="0" borderId="0" xfId="1" applyNumberFormat="1" applyFont="1" applyFill="1" applyBorder="1"/>
    <xf numFmtId="0" fontId="8" fillId="0" borderId="8" xfId="0" applyFont="1" applyFill="1" applyBorder="1" applyAlignment="1">
      <alignment horizontal="center" vertical="center"/>
    </xf>
    <xf numFmtId="10" fontId="13" fillId="0" borderId="63" xfId="2" applyNumberFormat="1" applyFont="1" applyFill="1" applyBorder="1" applyAlignment="1">
      <alignment horizontal="center"/>
    </xf>
    <xf numFmtId="10" fontId="13" fillId="0" borderId="27" xfId="2" applyNumberFormat="1" applyFont="1" applyFill="1" applyBorder="1" applyAlignment="1">
      <alignment horizontal="center"/>
    </xf>
    <xf numFmtId="10" fontId="13" fillId="0" borderId="61" xfId="2" applyNumberFormat="1" applyFont="1" applyFill="1" applyBorder="1" applyAlignment="1">
      <alignment horizontal="center"/>
    </xf>
    <xf numFmtId="3" fontId="17" fillId="0" borderId="0" xfId="1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 horizontal="center"/>
    </xf>
    <xf numFmtId="10" fontId="19" fillId="0" borderId="45" xfId="2" applyNumberFormat="1" applyFont="1" applyFill="1" applyBorder="1" applyAlignment="1">
      <alignment horizontal="center"/>
    </xf>
    <xf numFmtId="3" fontId="17" fillId="0" borderId="45" xfId="1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center" vertical="center"/>
    </xf>
    <xf numFmtId="3" fontId="17" fillId="0" borderId="45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/>
    </xf>
    <xf numFmtId="10" fontId="13" fillId="0" borderId="71" xfId="2" applyNumberFormat="1" applyFont="1" applyFill="1" applyBorder="1" applyAlignment="1">
      <alignment horizontal="center"/>
    </xf>
    <xf numFmtId="3" fontId="17" fillId="0" borderId="13" xfId="1" applyNumberFormat="1" applyFont="1" applyFill="1" applyBorder="1" applyAlignment="1">
      <alignment horizontal="right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10" fontId="13" fillId="0" borderId="35" xfId="2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0" fontId="13" fillId="0" borderId="3" xfId="2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0" fontId="15" fillId="0" borderId="36" xfId="0" applyFont="1" applyFill="1" applyBorder="1"/>
    <xf numFmtId="10" fontId="19" fillId="0" borderId="0" xfId="2" applyNumberFormat="1" applyFont="1" applyFill="1" applyBorder="1" applyAlignment="1">
      <alignment horizontal="center"/>
    </xf>
    <xf numFmtId="10" fontId="13" fillId="0" borderId="74" xfId="2" applyNumberFormat="1" applyFont="1" applyFill="1" applyBorder="1" applyAlignment="1">
      <alignment horizontal="center"/>
    </xf>
    <xf numFmtId="10" fontId="13" fillId="0" borderId="75" xfId="2" applyNumberFormat="1" applyFont="1" applyFill="1" applyBorder="1" applyAlignment="1">
      <alignment horizontal="center"/>
    </xf>
    <xf numFmtId="0" fontId="16" fillId="0" borderId="36" xfId="0" applyFont="1" applyFill="1" applyBorder="1" applyAlignment="1"/>
    <xf numFmtId="165" fontId="13" fillId="0" borderId="24" xfId="2" applyNumberFormat="1" applyFont="1" applyFill="1" applyBorder="1" applyAlignment="1">
      <alignment horizontal="left"/>
    </xf>
    <xf numFmtId="10" fontId="13" fillId="0" borderId="45" xfId="2" applyNumberFormat="1" applyFont="1" applyFill="1" applyBorder="1" applyAlignment="1">
      <alignment horizontal="center"/>
    </xf>
    <xf numFmtId="0" fontId="0" fillId="0" borderId="0" xfId="0" applyFill="1" applyBorder="1"/>
    <xf numFmtId="0" fontId="8" fillId="0" borderId="78" xfId="0" applyFont="1" applyFill="1" applyBorder="1" applyAlignment="1">
      <alignment horizontal="center" vertical="center"/>
    </xf>
    <xf numFmtId="164" fontId="3" fillId="0" borderId="78" xfId="0" applyNumberFormat="1" applyFont="1" applyFill="1" applyBorder="1" applyAlignment="1">
      <alignment horizontal="center" vertical="center"/>
    </xf>
    <xf numFmtId="10" fontId="13" fillId="0" borderId="78" xfId="2" applyNumberFormat="1" applyFont="1" applyFill="1" applyBorder="1" applyAlignment="1">
      <alignment horizontal="center"/>
    </xf>
    <xf numFmtId="0" fontId="13" fillId="0" borderId="79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3" fontId="17" fillId="0" borderId="79" xfId="0" applyNumberFormat="1" applyFont="1" applyFill="1" applyBorder="1" applyAlignment="1">
      <alignment horizontal="right"/>
    </xf>
    <xf numFmtId="0" fontId="8" fillId="0" borderId="79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/>
    </xf>
    <xf numFmtId="9" fontId="8" fillId="0" borderId="78" xfId="0" applyNumberFormat="1" applyFont="1" applyFill="1" applyBorder="1" applyAlignment="1">
      <alignment horizontal="center"/>
    </xf>
    <xf numFmtId="0" fontId="0" fillId="0" borderId="50" xfId="0" applyFill="1" applyBorder="1"/>
    <xf numFmtId="164" fontId="0" fillId="0" borderId="66" xfId="1" applyNumberFormat="1" applyFont="1" applyFill="1" applyBorder="1"/>
    <xf numFmtId="164" fontId="0" fillId="0" borderId="77" xfId="1" applyNumberFormat="1" applyFont="1" applyFill="1" applyBorder="1"/>
    <xf numFmtId="164" fontId="0" fillId="0" borderId="67" xfId="1" applyNumberFormat="1" applyFont="1" applyFill="1" applyBorder="1"/>
    <xf numFmtId="3" fontId="23" fillId="0" borderId="28" xfId="1" applyNumberFormat="1" applyFont="1" applyFill="1" applyBorder="1" applyAlignment="1">
      <alignment horizontal="right"/>
    </xf>
    <xf numFmtId="10" fontId="23" fillId="0" borderId="69" xfId="1" applyNumberFormat="1" applyFont="1" applyFill="1" applyBorder="1"/>
    <xf numFmtId="0" fontId="0" fillId="0" borderId="66" xfId="0" applyFill="1" applyBorder="1"/>
    <xf numFmtId="9" fontId="0" fillId="0" borderId="51" xfId="2" applyFont="1" applyFill="1" applyBorder="1"/>
    <xf numFmtId="0" fontId="0" fillId="0" borderId="21" xfId="0" applyFill="1" applyBorder="1"/>
    <xf numFmtId="164" fontId="0" fillId="0" borderId="25" xfId="1" applyNumberFormat="1" applyFont="1" applyFill="1" applyBorder="1"/>
    <xf numFmtId="164" fontId="0" fillId="0" borderId="26" xfId="1" applyNumberFormat="1" applyFont="1" applyFill="1" applyBorder="1"/>
    <xf numFmtId="164" fontId="0" fillId="0" borderId="39" xfId="1" applyNumberFormat="1" applyFont="1" applyFill="1" applyBorder="1"/>
    <xf numFmtId="3" fontId="23" fillId="0" borderId="26" xfId="1" applyNumberFormat="1" applyFont="1" applyFill="1" applyBorder="1" applyAlignment="1">
      <alignment horizontal="right"/>
    </xf>
    <xf numFmtId="10" fontId="23" fillId="0" borderId="39" xfId="1" applyNumberFormat="1" applyFont="1" applyFill="1" applyBorder="1"/>
    <xf numFmtId="0" fontId="0" fillId="0" borderId="25" xfId="0" applyFill="1" applyBorder="1"/>
    <xf numFmtId="9" fontId="0" fillId="0" borderId="21" xfId="2" applyFont="1" applyFill="1" applyBorder="1"/>
    <xf numFmtId="168" fontId="0" fillId="0" borderId="0" xfId="0" applyNumberFormat="1" applyFill="1" applyBorder="1"/>
    <xf numFmtId="168" fontId="0" fillId="0" borderId="0" xfId="0" applyNumberForma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45" xfId="0" applyFont="1" applyFill="1" applyBorder="1" applyAlignment="1"/>
    <xf numFmtId="0" fontId="3" fillId="0" borderId="45" xfId="0" applyFont="1" applyFill="1" applyBorder="1"/>
    <xf numFmtId="0" fontId="3" fillId="0" borderId="65" xfId="0" applyFont="1" applyFill="1" applyBorder="1"/>
    <xf numFmtId="164" fontId="3" fillId="0" borderId="30" xfId="1" applyNumberFormat="1" applyFont="1" applyFill="1" applyBorder="1"/>
    <xf numFmtId="10" fontId="3" fillId="0" borderId="75" xfId="1" applyNumberFormat="1" applyFont="1" applyFill="1" applyBorder="1"/>
    <xf numFmtId="164" fontId="7" fillId="0" borderId="76" xfId="1" applyNumberFormat="1" applyFont="1" applyFill="1" applyBorder="1"/>
    <xf numFmtId="164" fontId="3" fillId="0" borderId="13" xfId="1" applyNumberFormat="1" applyFont="1" applyFill="1" applyBorder="1"/>
    <xf numFmtId="164" fontId="3" fillId="0" borderId="45" xfId="1" applyNumberFormat="1" applyFont="1" applyFill="1" applyBorder="1"/>
    <xf numFmtId="164" fontId="3" fillId="0" borderId="46" xfId="1" applyNumberFormat="1" applyFont="1" applyFill="1" applyBorder="1"/>
    <xf numFmtId="3" fontId="24" fillId="0" borderId="45" xfId="1" applyNumberFormat="1" applyFont="1" applyFill="1" applyBorder="1" applyAlignment="1">
      <alignment horizontal="right"/>
    </xf>
    <xf numFmtId="10" fontId="7" fillId="0" borderId="46" xfId="1" applyNumberFormat="1" applyFont="1" applyFill="1" applyBorder="1"/>
    <xf numFmtId="164" fontId="3" fillId="0" borderId="76" xfId="1" applyNumberFormat="1" applyFont="1" applyFill="1" applyBorder="1"/>
    <xf numFmtId="165" fontId="3" fillId="0" borderId="47" xfId="0" applyNumberFormat="1" applyFont="1" applyFill="1" applyBorder="1" applyAlignment="1">
      <alignment horizontal="center"/>
    </xf>
    <xf numFmtId="0" fontId="3" fillId="0" borderId="49" xfId="0" applyFont="1" applyFill="1" applyBorder="1"/>
    <xf numFmtId="0" fontId="11" fillId="0" borderId="0" xfId="0" applyFont="1" applyFill="1"/>
    <xf numFmtId="10" fontId="11" fillId="0" borderId="0" xfId="0" applyNumberFormat="1" applyFont="1" applyFill="1"/>
    <xf numFmtId="10" fontId="11" fillId="0" borderId="0" xfId="2" applyNumberFormat="1" applyFont="1" applyFill="1"/>
    <xf numFmtId="164" fontId="0" fillId="0" borderId="0" xfId="1" applyNumberFormat="1" applyFont="1" applyFill="1"/>
    <xf numFmtId="3" fontId="4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25" fillId="0" borderId="0" xfId="0" applyFont="1" applyFill="1"/>
    <xf numFmtId="10" fontId="26" fillId="0" borderId="0" xfId="2" applyNumberFormat="1" applyFont="1" applyFill="1"/>
    <xf numFmtId="0" fontId="7" fillId="0" borderId="0" xfId="0" applyFont="1" applyFill="1"/>
    <xf numFmtId="10" fontId="2" fillId="0" borderId="0" xfId="0" applyNumberFormat="1" applyFont="1" applyFill="1" applyBorder="1"/>
    <xf numFmtId="10" fontId="7" fillId="0" borderId="0" xfId="0" applyNumberFormat="1" applyFon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 applyBorder="1"/>
    <xf numFmtId="10" fontId="0" fillId="0" borderId="0" xfId="0" applyNumberFormat="1" applyFill="1"/>
    <xf numFmtId="4" fontId="0" fillId="0" borderId="0" xfId="0" applyNumberFormat="1" applyAlignment="1">
      <alignment horizontal="right"/>
    </xf>
    <xf numFmtId="169" fontId="27" fillId="0" borderId="0" xfId="0" applyNumberFormat="1" applyFont="1" applyFill="1"/>
    <xf numFmtId="3" fontId="28" fillId="0" borderId="0" xfId="0" applyNumberFormat="1" applyFont="1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10" fontId="11" fillId="0" borderId="0" xfId="2" applyNumberFormat="1" applyFont="1"/>
    <xf numFmtId="0" fontId="11" fillId="0" borderId="0" xfId="0" applyFont="1"/>
    <xf numFmtId="3" fontId="28" fillId="0" borderId="0" xfId="0" applyNumberFormat="1" applyFont="1" applyAlignment="1">
      <alignment horizontal="right"/>
    </xf>
    <xf numFmtId="10" fontId="0" fillId="0" borderId="0" xfId="0" applyNumberFormat="1"/>
    <xf numFmtId="170" fontId="0" fillId="0" borderId="0" xfId="0" applyNumberFormat="1" applyFill="1"/>
    <xf numFmtId="10" fontId="29" fillId="2" borderId="0" xfId="0" applyNumberFormat="1" applyFont="1" applyFill="1"/>
    <xf numFmtId="4" fontId="28" fillId="0" borderId="0" xfId="0" applyNumberFormat="1" applyFont="1" applyAlignment="1">
      <alignment horizontal="right"/>
    </xf>
    <xf numFmtId="0" fontId="29" fillId="2" borderId="0" xfId="0" applyFont="1" applyFill="1"/>
    <xf numFmtId="10" fontId="2" fillId="0" borderId="0" xfId="0" applyNumberFormat="1" applyFont="1"/>
    <xf numFmtId="0" fontId="6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14" fillId="0" borderId="45" xfId="1" applyNumberFormat="1" applyFont="1" applyFill="1" applyBorder="1"/>
    <xf numFmtId="164" fontId="14" fillId="0" borderId="0" xfId="1" applyNumberFormat="1" applyFont="1" applyFill="1" applyBorder="1"/>
    <xf numFmtId="0" fontId="0" fillId="0" borderId="45" xfId="0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right"/>
    </xf>
    <xf numFmtId="164" fontId="14" fillId="0" borderId="2" xfId="1" applyNumberFormat="1" applyFont="1" applyFill="1" applyBorder="1"/>
    <xf numFmtId="10" fontId="19" fillId="0" borderId="2" xfId="2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3" fontId="17" fillId="0" borderId="16" xfId="1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164" fontId="14" fillId="0" borderId="8" xfId="1" applyNumberFormat="1" applyFont="1" applyFill="1" applyBorder="1"/>
    <xf numFmtId="164" fontId="14" fillId="0" borderId="17" xfId="1" applyNumberFormat="1" applyFont="1" applyFill="1" applyBorder="1"/>
    <xf numFmtId="10" fontId="20" fillId="0" borderId="0" xfId="2" applyNumberFormat="1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10" fontId="13" fillId="0" borderId="7" xfId="2" applyNumberFormat="1" applyFont="1" applyFill="1" applyBorder="1" applyAlignment="1">
      <alignment horizontal="center"/>
    </xf>
    <xf numFmtId="10" fontId="20" fillId="0" borderId="2" xfId="2" applyNumberFormat="1" applyFont="1" applyFill="1" applyBorder="1" applyAlignment="1">
      <alignment horizontal="center"/>
    </xf>
    <xf numFmtId="3" fontId="17" fillId="0" borderId="7" xfId="1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center" vertical="center"/>
    </xf>
    <xf numFmtId="165" fontId="6" fillId="0" borderId="45" xfId="2" applyNumberFormat="1" applyFont="1" applyFill="1" applyBorder="1" applyAlignment="1">
      <alignment horizontal="left"/>
    </xf>
    <xf numFmtId="10" fontId="13" fillId="0" borderId="45" xfId="2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/>
    <xf numFmtId="0" fontId="15" fillId="2" borderId="0" xfId="0" applyFont="1" applyFill="1" applyBorder="1"/>
    <xf numFmtId="0" fontId="16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6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2" xfId="0" applyFont="1" applyFill="1" applyBorder="1"/>
    <xf numFmtId="0" fontId="10" fillId="2" borderId="45" xfId="0" applyFont="1" applyFill="1" applyBorder="1" applyAlignment="1">
      <alignment horizontal="center"/>
    </xf>
    <xf numFmtId="0" fontId="8" fillId="2" borderId="13" xfId="0" applyFont="1" applyFill="1" applyBorder="1"/>
    <xf numFmtId="0" fontId="16" fillId="2" borderId="45" xfId="0" applyFont="1" applyFill="1" applyBorder="1"/>
    <xf numFmtId="164" fontId="14" fillId="0" borderId="45" xfId="1" applyNumberFormat="1" applyFont="1" applyFill="1" applyBorder="1" applyAlignment="1">
      <alignment horizontal="right"/>
    </xf>
    <xf numFmtId="0" fontId="16" fillId="2" borderId="45" xfId="0" applyFont="1" applyFill="1" applyBorder="1" applyAlignment="1"/>
    <xf numFmtId="0" fontId="8" fillId="2" borderId="1" xfId="0" applyFont="1" applyFill="1" applyBorder="1" applyAlignment="1"/>
    <xf numFmtId="165" fontId="13" fillId="0" borderId="26" xfId="2" applyNumberFormat="1" applyFont="1" applyFill="1" applyBorder="1" applyAlignment="1"/>
    <xf numFmtId="165" fontId="13" fillId="0" borderId="41" xfId="2" applyNumberFormat="1" applyFont="1" applyFill="1" applyBorder="1" applyAlignment="1"/>
    <xf numFmtId="165" fontId="13" fillId="0" borderId="61" xfId="2" applyNumberFormat="1" applyFont="1" applyFill="1" applyBorder="1" applyAlignment="1"/>
    <xf numFmtId="165" fontId="13" fillId="0" borderId="0" xfId="2" applyNumberFormat="1" applyFont="1" applyFill="1" applyBorder="1" applyAlignment="1"/>
    <xf numFmtId="165" fontId="13" fillId="0" borderId="81" xfId="2" applyNumberFormat="1" applyFont="1" applyFill="1" applyBorder="1" applyAlignment="1"/>
    <xf numFmtId="165" fontId="13" fillId="0" borderId="82" xfId="2" applyNumberFormat="1" applyFont="1" applyFill="1" applyBorder="1" applyAlignment="1"/>
    <xf numFmtId="165" fontId="13" fillId="0" borderId="22" xfId="2" applyNumberFormat="1" applyFont="1" applyFill="1" applyBorder="1" applyAlignment="1"/>
    <xf numFmtId="165" fontId="13" fillId="0" borderId="39" xfId="2" applyNumberFormat="1" applyFont="1" applyFill="1" applyBorder="1" applyAlignment="1"/>
    <xf numFmtId="0" fontId="6" fillId="0" borderId="58" xfId="0" applyFont="1" applyFill="1" applyBorder="1"/>
    <xf numFmtId="0" fontId="6" fillId="0" borderId="43" xfId="0" applyFont="1" applyFill="1" applyBorder="1"/>
    <xf numFmtId="0" fontId="6" fillId="0" borderId="52" xfId="0" applyFont="1" applyFill="1" applyBorder="1"/>
    <xf numFmtId="165" fontId="13" fillId="0" borderId="24" xfId="2" applyNumberFormat="1" applyFont="1" applyFill="1" applyBorder="1" applyAlignment="1"/>
    <xf numFmtId="10" fontId="13" fillId="0" borderId="61" xfId="1" applyNumberFormat="1" applyFont="1" applyFill="1" applyBorder="1" applyAlignment="1"/>
    <xf numFmtId="10" fontId="13" fillId="0" borderId="3" xfId="0" applyNumberFormat="1" applyFont="1" applyFill="1" applyBorder="1" applyAlignment="1">
      <alignment horizontal="center" vertical="center"/>
    </xf>
    <xf numFmtId="10" fontId="22" fillId="0" borderId="55" xfId="2" applyNumberFormat="1" applyFont="1" applyFill="1" applyBorder="1" applyAlignment="1">
      <alignment horizontal="center"/>
    </xf>
    <xf numFmtId="165" fontId="13" fillId="0" borderId="56" xfId="2" applyNumberFormat="1" applyFont="1" applyFill="1" applyBorder="1" applyAlignment="1">
      <alignment horizontal="center"/>
    </xf>
    <xf numFmtId="10" fontId="13" fillId="0" borderId="59" xfId="2" applyNumberFormat="1" applyFont="1" applyFill="1" applyBorder="1" applyAlignment="1">
      <alignment horizontal="center"/>
    </xf>
    <xf numFmtId="10" fontId="22" fillId="0" borderId="60" xfId="2" applyNumberFormat="1" applyFont="1" applyFill="1" applyBorder="1" applyAlignment="1">
      <alignment horizontal="center"/>
    </xf>
    <xf numFmtId="165" fontId="13" fillId="0" borderId="61" xfId="2" applyNumberFormat="1" applyFont="1" applyFill="1" applyBorder="1" applyAlignment="1">
      <alignment horizontal="left"/>
    </xf>
    <xf numFmtId="165" fontId="13" fillId="0" borderId="57" xfId="2" applyNumberFormat="1" applyFont="1" applyFill="1" applyBorder="1" applyAlignment="1">
      <alignment horizontal="center"/>
    </xf>
    <xf numFmtId="10" fontId="22" fillId="0" borderId="68" xfId="2" applyNumberFormat="1" applyFont="1" applyFill="1" applyBorder="1" applyAlignment="1">
      <alignment horizontal="center"/>
    </xf>
    <xf numFmtId="165" fontId="13" fillId="0" borderId="34" xfId="2" applyNumberFormat="1" applyFont="1" applyFill="1" applyBorder="1" applyAlignment="1">
      <alignment horizontal="left"/>
    </xf>
    <xf numFmtId="10" fontId="22" fillId="0" borderId="41" xfId="2" applyNumberFormat="1" applyFont="1" applyFill="1" applyBorder="1" applyAlignment="1">
      <alignment horizontal="center"/>
    </xf>
    <xf numFmtId="165" fontId="13" fillId="0" borderId="84" xfId="2" applyNumberFormat="1" applyFont="1" applyFill="1" applyBorder="1" applyAlignment="1">
      <alignment horizontal="center"/>
    </xf>
    <xf numFmtId="10" fontId="22" fillId="0" borderId="0" xfId="2" applyNumberFormat="1" applyFont="1" applyFill="1" applyBorder="1" applyAlignment="1">
      <alignment horizontal="center"/>
    </xf>
    <xf numFmtId="0" fontId="13" fillId="0" borderId="29" xfId="0" applyFont="1" applyFill="1" applyBorder="1"/>
    <xf numFmtId="165" fontId="13" fillId="0" borderId="34" xfId="2" applyNumberFormat="1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/>
    </xf>
    <xf numFmtId="10" fontId="22" fillId="0" borderId="73" xfId="2" applyNumberFormat="1" applyFont="1" applyFill="1" applyBorder="1" applyAlignment="1">
      <alignment horizontal="center"/>
    </xf>
    <xf numFmtId="10" fontId="22" fillId="0" borderId="72" xfId="2" applyNumberFormat="1" applyFont="1" applyFill="1" applyBorder="1" applyAlignment="1">
      <alignment horizontal="center"/>
    </xf>
    <xf numFmtId="10" fontId="33" fillId="0" borderId="55" xfId="2" applyNumberFormat="1" applyFont="1" applyFill="1" applyBorder="1" applyAlignment="1">
      <alignment horizontal="center"/>
    </xf>
    <xf numFmtId="165" fontId="13" fillId="0" borderId="39" xfId="2" applyNumberFormat="1" applyFont="1" applyFill="1" applyBorder="1" applyAlignment="1">
      <alignment horizontal="left"/>
    </xf>
    <xf numFmtId="10" fontId="13" fillId="0" borderId="1" xfId="2" applyNumberFormat="1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10" fontId="13" fillId="0" borderId="86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43" xfId="0" applyFont="1" applyFill="1" applyBorder="1"/>
    <xf numFmtId="9" fontId="6" fillId="0" borderId="49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/>
    </xf>
    <xf numFmtId="0" fontId="16" fillId="0" borderId="28" xfId="0" applyFont="1" applyFill="1" applyBorder="1"/>
    <xf numFmtId="0" fontId="28" fillId="0" borderId="0" xfId="0" applyFont="1" applyFill="1" applyBorder="1"/>
    <xf numFmtId="0" fontId="28" fillId="0" borderId="45" xfId="0" applyFont="1" applyFill="1" applyBorder="1"/>
    <xf numFmtId="0" fontId="37" fillId="0" borderId="2" xfId="0" applyFont="1" applyFill="1" applyBorder="1"/>
    <xf numFmtId="164" fontId="13" fillId="0" borderId="87" xfId="1" applyNumberFormat="1" applyFont="1" applyFill="1" applyBorder="1"/>
    <xf numFmtId="164" fontId="31" fillId="0" borderId="19" xfId="1" applyNumberFormat="1" applyFont="1" applyFill="1" applyBorder="1"/>
    <xf numFmtId="10" fontId="13" fillId="0" borderId="80" xfId="2" applyNumberFormat="1" applyFont="1" applyFill="1" applyBorder="1" applyAlignment="1">
      <alignment horizontal="center"/>
    </xf>
    <xf numFmtId="164" fontId="31" fillId="0" borderId="36" xfId="1" applyNumberFormat="1" applyFont="1" applyFill="1" applyBorder="1"/>
    <xf numFmtId="10" fontId="13" fillId="0" borderId="23" xfId="2" applyNumberFormat="1" applyFont="1" applyFill="1" applyBorder="1" applyAlignment="1">
      <alignment horizontal="center"/>
    </xf>
    <xf numFmtId="164" fontId="31" fillId="0" borderId="42" xfId="1" applyNumberFormat="1" applyFont="1" applyFill="1" applyBorder="1"/>
    <xf numFmtId="164" fontId="31" fillId="0" borderId="10" xfId="1" applyNumberFormat="1" applyFont="1" applyFill="1" applyBorder="1"/>
    <xf numFmtId="10" fontId="13" fillId="0" borderId="76" xfId="2" applyNumberFormat="1" applyFont="1" applyFill="1" applyBorder="1" applyAlignment="1">
      <alignment horizontal="center"/>
    </xf>
    <xf numFmtId="10" fontId="13" fillId="0" borderId="53" xfId="2" applyNumberFormat="1" applyFont="1" applyFill="1" applyBorder="1" applyAlignment="1">
      <alignment horizontal="center"/>
    </xf>
    <xf numFmtId="167" fontId="13" fillId="0" borderId="53" xfId="1" applyNumberFormat="1" applyFont="1" applyFill="1" applyBorder="1" applyAlignment="1">
      <alignment horizontal="left"/>
    </xf>
    <xf numFmtId="167" fontId="13" fillId="0" borderId="62" xfId="1" applyNumberFormat="1" applyFont="1" applyFill="1" applyBorder="1" applyAlignment="1">
      <alignment horizontal="left"/>
    </xf>
    <xf numFmtId="167" fontId="13" fillId="0" borderId="0" xfId="1" applyNumberFormat="1" applyFont="1" applyFill="1" applyBorder="1" applyAlignment="1">
      <alignment horizontal="left"/>
    </xf>
    <xf numFmtId="167" fontId="13" fillId="0" borderId="54" xfId="1" applyNumberFormat="1" applyFont="1" applyFill="1" applyBorder="1" applyAlignment="1">
      <alignment horizontal="left"/>
    </xf>
    <xf numFmtId="164" fontId="31" fillId="0" borderId="63" xfId="1" applyNumberFormat="1" applyFont="1" applyFill="1" applyBorder="1"/>
    <xf numFmtId="3" fontId="17" fillId="0" borderId="22" xfId="1" applyNumberFormat="1" applyFont="1" applyFill="1" applyBorder="1" applyAlignment="1">
      <alignment horizontal="right"/>
    </xf>
    <xf numFmtId="164" fontId="31" fillId="0" borderId="21" xfId="1" applyNumberFormat="1" applyFont="1" applyFill="1" applyBorder="1"/>
    <xf numFmtId="167" fontId="13" fillId="0" borderId="40" xfId="1" applyNumberFormat="1" applyFont="1" applyFill="1" applyBorder="1" applyAlignment="1">
      <alignment horizontal="left"/>
    </xf>
    <xf numFmtId="3" fontId="17" fillId="0" borderId="40" xfId="1" applyNumberFormat="1" applyFont="1" applyFill="1" applyBorder="1" applyAlignment="1">
      <alignment horizontal="right"/>
    </xf>
    <xf numFmtId="167" fontId="13" fillId="0" borderId="83" xfId="1" applyNumberFormat="1" applyFont="1" applyFill="1" applyBorder="1" applyAlignment="1">
      <alignment horizontal="left"/>
    </xf>
    <xf numFmtId="164" fontId="31" fillId="0" borderId="30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164" fontId="31" fillId="0" borderId="21" xfId="1" applyNumberFormat="1" applyFont="1" applyFill="1" applyBorder="1" applyAlignment="1"/>
    <xf numFmtId="167" fontId="13" fillId="0" borderId="86" xfId="1" applyNumberFormat="1" applyFont="1" applyFill="1" applyBorder="1" applyAlignment="1">
      <alignment horizontal="left"/>
    </xf>
    <xf numFmtId="3" fontId="17" fillId="0" borderId="43" xfId="1" applyNumberFormat="1" applyFont="1" applyFill="1" applyBorder="1" applyAlignment="1">
      <alignment horizontal="right"/>
    </xf>
    <xf numFmtId="10" fontId="13" fillId="0" borderId="16" xfId="2" applyNumberFormat="1" applyFont="1" applyFill="1" applyBorder="1" applyAlignment="1">
      <alignment horizontal="center"/>
    </xf>
    <xf numFmtId="10" fontId="13" fillId="0" borderId="88" xfId="2" applyNumberFormat="1" applyFont="1" applyFill="1" applyBorder="1" applyAlignment="1">
      <alignment horizontal="center"/>
    </xf>
    <xf numFmtId="10" fontId="13" fillId="0" borderId="89" xfId="2" applyNumberFormat="1" applyFont="1" applyFill="1" applyBorder="1" applyAlignment="1">
      <alignment horizontal="center"/>
    </xf>
    <xf numFmtId="165" fontId="13" fillId="0" borderId="46" xfId="2" applyNumberFormat="1" applyFont="1" applyFill="1" applyBorder="1" applyAlignment="1">
      <alignment horizontal="left"/>
    </xf>
    <xf numFmtId="165" fontId="13" fillId="0" borderId="90" xfId="2" applyNumberFormat="1" applyFont="1" applyFill="1" applyBorder="1" applyAlignment="1">
      <alignment horizontal="center"/>
    </xf>
    <xf numFmtId="165" fontId="6" fillId="0" borderId="8" xfId="2" applyNumberFormat="1" applyFont="1" applyFill="1" applyBorder="1" applyAlignment="1">
      <alignment horizontal="left"/>
    </xf>
    <xf numFmtId="165" fontId="13" fillId="0" borderId="91" xfId="2" applyNumberFormat="1" applyFont="1" applyFill="1" applyBorder="1" applyAlignment="1">
      <alignment horizontal="center"/>
    </xf>
    <xf numFmtId="0" fontId="0" fillId="0" borderId="92" xfId="0" applyFill="1" applyBorder="1" applyAlignment="1">
      <alignment vertical="center"/>
    </xf>
    <xf numFmtId="9" fontId="6" fillId="0" borderId="5" xfId="0" applyNumberFormat="1" applyFont="1" applyFill="1" applyBorder="1" applyAlignment="1">
      <alignment vertical="center"/>
    </xf>
    <xf numFmtId="0" fontId="13" fillId="0" borderId="92" xfId="0" applyFont="1" applyFill="1" applyBorder="1" applyAlignment="1">
      <alignment vertical="center"/>
    </xf>
    <xf numFmtId="10" fontId="13" fillId="0" borderId="46" xfId="2" applyNumberFormat="1" applyFont="1" applyFill="1" applyBorder="1" applyAlignment="1">
      <alignment horizontal="center"/>
    </xf>
    <xf numFmtId="10" fontId="13" fillId="0" borderId="46" xfId="0" applyNumberFormat="1" applyFont="1" applyFill="1" applyBorder="1" applyAlignment="1">
      <alignment horizontal="center" vertical="center"/>
    </xf>
    <xf numFmtId="9" fontId="0" fillId="0" borderId="5" xfId="2" applyFont="1" applyFill="1" applyBorder="1" applyAlignment="1">
      <alignment vertical="center"/>
    </xf>
    <xf numFmtId="171" fontId="17" fillId="2" borderId="0" xfId="1" applyNumberFormat="1" applyFont="1" applyFill="1" applyBorder="1" applyAlignment="1">
      <alignment horizontal="right"/>
    </xf>
    <xf numFmtId="10" fontId="7" fillId="0" borderId="7" xfId="0" applyNumberFormat="1" applyFont="1" applyFill="1" applyBorder="1" applyAlignment="1">
      <alignment horizontal="center" vertical="center"/>
    </xf>
    <xf numFmtId="10" fontId="8" fillId="0" borderId="16" xfId="0" applyNumberFormat="1" applyFont="1" applyFill="1" applyBorder="1" applyAlignment="1">
      <alignment horizontal="center"/>
    </xf>
    <xf numFmtId="10" fontId="6" fillId="0" borderId="13" xfId="2" applyNumberFormat="1" applyFont="1" applyFill="1" applyBorder="1" applyAlignment="1">
      <alignment horizontal="center" vertical="center"/>
    </xf>
    <xf numFmtId="10" fontId="6" fillId="0" borderId="6" xfId="2" applyNumberFormat="1" applyFont="1" applyFill="1" applyBorder="1" applyAlignment="1">
      <alignment horizontal="center" vertical="center"/>
    </xf>
    <xf numFmtId="10" fontId="6" fillId="0" borderId="7" xfId="2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/>
    </xf>
    <xf numFmtId="10" fontId="8" fillId="0" borderId="2" xfId="0" applyNumberFormat="1" applyFont="1" applyFill="1" applyBorder="1" applyAlignment="1">
      <alignment horizontal="center"/>
    </xf>
    <xf numFmtId="10" fontId="6" fillId="0" borderId="45" xfId="2" applyNumberFormat="1" applyFont="1" applyFill="1" applyBorder="1" applyAlignment="1">
      <alignment horizontal="center" vertical="center"/>
    </xf>
    <xf numFmtId="10" fontId="8" fillId="0" borderId="45" xfId="0" applyNumberFormat="1" applyFont="1" applyFill="1" applyBorder="1" applyAlignment="1">
      <alignment horizontal="center"/>
    </xf>
    <xf numFmtId="10" fontId="6" fillId="0" borderId="5" xfId="2" applyNumberFormat="1" applyFont="1" applyFill="1" applyBorder="1" applyAlignment="1">
      <alignment vertical="center"/>
    </xf>
    <xf numFmtId="10" fontId="6" fillId="0" borderId="2" xfId="2" applyNumberFormat="1" applyFont="1" applyFill="1" applyBorder="1" applyAlignment="1">
      <alignment horizontal="center" vertical="center"/>
    </xf>
    <xf numFmtId="10" fontId="8" fillId="3" borderId="2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0" fontId="8" fillId="3" borderId="78" xfId="0" applyNumberFormat="1" applyFont="1" applyFill="1" applyBorder="1" applyAlignment="1">
      <alignment horizontal="center"/>
    </xf>
    <xf numFmtId="2" fontId="38" fillId="4" borderId="15" xfId="2" applyNumberFormat="1" applyFont="1" applyFill="1" applyBorder="1" applyAlignment="1">
      <alignment horizontal="center"/>
    </xf>
    <xf numFmtId="2" fontId="39" fillId="4" borderId="15" xfId="2" applyNumberFormat="1" applyFont="1" applyFill="1" applyBorder="1" applyAlignment="1">
      <alignment horizontal="center"/>
    </xf>
    <xf numFmtId="0" fontId="40" fillId="4" borderId="15" xfId="2" applyNumberFormat="1" applyFont="1" applyFill="1" applyBorder="1" applyAlignment="1">
      <alignment horizontal="center"/>
    </xf>
    <xf numFmtId="0" fontId="39" fillId="4" borderId="15" xfId="2" applyNumberFormat="1" applyFont="1" applyFill="1" applyBorder="1" applyAlignment="1">
      <alignment horizontal="center"/>
    </xf>
    <xf numFmtId="0" fontId="41" fillId="4" borderId="15" xfId="2" applyNumberFormat="1" applyFont="1" applyFill="1" applyBorder="1" applyAlignment="1">
      <alignment horizontal="center"/>
    </xf>
    <xf numFmtId="0" fontId="38" fillId="4" borderId="15" xfId="2" applyNumberFormat="1" applyFont="1" applyFill="1" applyBorder="1" applyAlignment="1">
      <alignment horizontal="center"/>
    </xf>
    <xf numFmtId="4" fontId="39" fillId="4" borderId="15" xfId="2" applyNumberFormat="1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2" fontId="44" fillId="5" borderId="15" xfId="0" applyNumberFormat="1" applyFont="1" applyFill="1" applyBorder="1" applyAlignment="1">
      <alignment horizontal="center"/>
    </xf>
    <xf numFmtId="2" fontId="44" fillId="0" borderId="15" xfId="2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" fontId="45" fillId="0" borderId="15" xfId="2" applyNumberFormat="1" applyFont="1" applyFill="1" applyBorder="1" applyAlignment="1">
      <alignment horizontal="center"/>
    </xf>
    <xf numFmtId="2" fontId="44" fillId="2" borderId="15" xfId="2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4" borderId="85" xfId="0" applyFont="1" applyFill="1" applyBorder="1" applyAlignment="1">
      <alignment horizontal="center" vertical="center"/>
    </xf>
    <xf numFmtId="17" fontId="5" fillId="4" borderId="95" xfId="0" applyNumberFormat="1" applyFont="1" applyFill="1" applyBorder="1" applyAlignment="1">
      <alignment horizontal="center" vertical="center"/>
    </xf>
    <xf numFmtId="17" fontId="5" fillId="4" borderId="96" xfId="0" applyNumberFormat="1" applyFont="1" applyFill="1" applyBorder="1" applyAlignment="1">
      <alignment horizontal="center" vertical="center"/>
    </xf>
    <xf numFmtId="17" fontId="44" fillId="4" borderId="1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center"/>
    </xf>
    <xf numFmtId="2" fontId="40" fillId="4" borderId="15" xfId="2" applyNumberFormat="1" applyFont="1" applyFill="1" applyBorder="1" applyAlignment="1">
      <alignment horizontal="center"/>
    </xf>
    <xf numFmtId="2" fontId="41" fillId="4" borderId="15" xfId="2" applyNumberFormat="1" applyFont="1" applyFill="1" applyBorder="1" applyAlignment="1">
      <alignment horizontal="center"/>
    </xf>
    <xf numFmtId="2" fontId="5" fillId="4" borderId="47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 vertical="center"/>
    </xf>
    <xf numFmtId="4" fontId="40" fillId="4" borderId="15" xfId="2" applyNumberFormat="1" applyFont="1" applyFill="1" applyBorder="1" applyAlignment="1">
      <alignment horizontal="center"/>
    </xf>
    <xf numFmtId="2" fontId="48" fillId="4" borderId="15" xfId="2" applyNumberFormat="1" applyFont="1" applyFill="1" applyBorder="1" applyAlignment="1">
      <alignment horizontal="center"/>
    </xf>
    <xf numFmtId="10" fontId="13" fillId="0" borderId="62" xfId="2" applyNumberFormat="1" applyFont="1" applyFill="1" applyBorder="1" applyAlignment="1">
      <alignment horizontal="center"/>
    </xf>
    <xf numFmtId="9" fontId="6" fillId="0" borderId="45" xfId="0" applyNumberFormat="1" applyFont="1" applyFill="1" applyBorder="1" applyAlignment="1">
      <alignment horizontal="center" vertical="center"/>
    </xf>
    <xf numFmtId="10" fontId="6" fillId="0" borderId="45" xfId="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0" fontId="6" fillId="0" borderId="13" xfId="2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165" fontId="13" fillId="8" borderId="44" xfId="2" applyNumberFormat="1" applyFont="1" applyFill="1" applyBorder="1" applyAlignment="1">
      <alignment horizontal="center"/>
    </xf>
    <xf numFmtId="164" fontId="31" fillId="9" borderId="21" xfId="1" applyNumberFormat="1" applyFont="1" applyFill="1" applyBorder="1"/>
    <xf numFmtId="10" fontId="13" fillId="9" borderId="53" xfId="2" applyNumberFormat="1" applyFont="1" applyFill="1" applyBorder="1" applyAlignment="1">
      <alignment horizontal="center"/>
    </xf>
    <xf numFmtId="167" fontId="13" fillId="9" borderId="83" xfId="1" applyNumberFormat="1" applyFont="1" applyFill="1" applyBorder="1" applyAlignment="1">
      <alignment horizontal="left"/>
    </xf>
    <xf numFmtId="10" fontId="13" fillId="9" borderId="76" xfId="2" applyNumberFormat="1" applyFont="1" applyFill="1" applyBorder="1" applyAlignment="1">
      <alignment horizontal="center"/>
    </xf>
    <xf numFmtId="164" fontId="31" fillId="9" borderId="30" xfId="1" applyNumberFormat="1" applyFont="1" applyFill="1" applyBorder="1" applyAlignment="1">
      <alignment horizontal="right"/>
    </xf>
    <xf numFmtId="3" fontId="13" fillId="9" borderId="0" xfId="1" applyNumberFormat="1" applyFont="1" applyFill="1" applyBorder="1" applyAlignment="1">
      <alignment horizontal="right"/>
    </xf>
    <xf numFmtId="164" fontId="31" fillId="9" borderId="19" xfId="1" applyNumberFormat="1" applyFont="1" applyFill="1" applyBorder="1"/>
    <xf numFmtId="167" fontId="13" fillId="9" borderId="54" xfId="1" applyNumberFormat="1" applyFont="1" applyFill="1" applyBorder="1" applyAlignment="1">
      <alignment horizontal="left"/>
    </xf>
    <xf numFmtId="164" fontId="31" fillId="9" borderId="21" xfId="1" applyNumberFormat="1" applyFont="1" applyFill="1" applyBorder="1" applyAlignment="1"/>
    <xf numFmtId="10" fontId="13" fillId="9" borderId="35" xfId="2" applyNumberFormat="1" applyFont="1" applyFill="1" applyBorder="1" applyAlignment="1">
      <alignment horizontal="center"/>
    </xf>
    <xf numFmtId="167" fontId="13" fillId="9" borderId="86" xfId="1" applyNumberFormat="1" applyFont="1" applyFill="1" applyBorder="1" applyAlignment="1">
      <alignment horizontal="left"/>
    </xf>
    <xf numFmtId="0" fontId="14" fillId="0" borderId="97" xfId="0" applyFont="1" applyFill="1" applyBorder="1"/>
    <xf numFmtId="0" fontId="16" fillId="0" borderId="5" xfId="0" applyFont="1" applyFill="1" applyBorder="1"/>
    <xf numFmtId="0" fontId="10" fillId="0" borderId="94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0" fontId="13" fillId="9" borderId="98" xfId="2" applyNumberFormat="1" applyFont="1" applyFill="1" applyBorder="1" applyAlignment="1">
      <alignment horizontal="center"/>
    </xf>
    <xf numFmtId="10" fontId="19" fillId="0" borderId="99" xfId="2" applyNumberFormat="1" applyFont="1" applyFill="1" applyBorder="1" applyAlignment="1">
      <alignment horizontal="center"/>
    </xf>
    <xf numFmtId="165" fontId="6" fillId="0" borderId="100" xfId="2" applyNumberFormat="1" applyFont="1" applyFill="1" applyBorder="1" applyAlignment="1">
      <alignment horizontal="left"/>
    </xf>
    <xf numFmtId="10" fontId="13" fillId="0" borderId="101" xfId="2" applyNumberFormat="1" applyFont="1" applyFill="1" applyBorder="1" applyAlignment="1">
      <alignment horizontal="center"/>
    </xf>
    <xf numFmtId="10" fontId="13" fillId="0" borderId="102" xfId="2" applyNumberFormat="1" applyFont="1" applyFill="1" applyBorder="1" applyAlignment="1">
      <alignment horizontal="center"/>
    </xf>
    <xf numFmtId="10" fontId="13" fillId="0" borderId="103" xfId="2" applyNumberFormat="1" applyFont="1" applyFill="1" applyBorder="1" applyAlignment="1">
      <alignment horizontal="center"/>
    </xf>
    <xf numFmtId="10" fontId="13" fillId="0" borderId="104" xfId="2" applyNumberFormat="1" applyFont="1" applyFill="1" applyBorder="1" applyAlignment="1">
      <alignment horizontal="center"/>
    </xf>
    <xf numFmtId="10" fontId="13" fillId="0" borderId="57" xfId="2" applyNumberFormat="1" applyFont="1" applyFill="1" applyBorder="1" applyAlignment="1">
      <alignment horizontal="center"/>
    </xf>
    <xf numFmtId="10" fontId="13" fillId="0" borderId="56" xfId="2" applyNumberFormat="1" applyFont="1" applyFill="1" applyBorder="1" applyAlignment="1">
      <alignment horizontal="center"/>
    </xf>
    <xf numFmtId="10" fontId="13" fillId="0" borderId="90" xfId="2" applyNumberFormat="1" applyFont="1" applyFill="1" applyBorder="1" applyAlignment="1">
      <alignment horizontal="center"/>
    </xf>
    <xf numFmtId="164" fontId="31" fillId="9" borderId="5" xfId="1" applyNumberFormat="1" applyFont="1" applyFill="1" applyBorder="1"/>
    <xf numFmtId="3" fontId="13" fillId="9" borderId="88" xfId="1" applyNumberFormat="1" applyFont="1" applyFill="1" applyBorder="1" applyAlignment="1">
      <alignment horizontal="right"/>
    </xf>
    <xf numFmtId="164" fontId="31" fillId="9" borderId="63" xfId="1" applyNumberFormat="1" applyFont="1" applyFill="1" applyBorder="1"/>
    <xf numFmtId="10" fontId="13" fillId="9" borderId="23" xfId="2" applyNumberFormat="1" applyFont="1" applyFill="1" applyBorder="1" applyAlignment="1">
      <alignment horizontal="center"/>
    </xf>
    <xf numFmtId="3" fontId="17" fillId="9" borderId="22" xfId="1" applyNumberFormat="1" applyFont="1" applyFill="1" applyBorder="1" applyAlignment="1">
      <alignment horizontal="right"/>
    </xf>
    <xf numFmtId="166" fontId="18" fillId="0" borderId="37" xfId="0" applyNumberFormat="1" applyFont="1" applyFill="1" applyBorder="1" applyAlignment="1">
      <alignment horizontal="right"/>
    </xf>
    <xf numFmtId="167" fontId="13" fillId="9" borderId="53" xfId="1" applyNumberFormat="1" applyFont="1" applyFill="1" applyBorder="1" applyAlignment="1">
      <alignment horizontal="left"/>
    </xf>
    <xf numFmtId="167" fontId="13" fillId="9" borderId="62" xfId="1" applyNumberFormat="1" applyFont="1" applyFill="1" applyBorder="1" applyAlignment="1">
      <alignment horizontal="left"/>
    </xf>
    <xf numFmtId="167" fontId="13" fillId="9" borderId="0" xfId="1" applyNumberFormat="1" applyFont="1" applyFill="1" applyBorder="1" applyAlignment="1">
      <alignment horizontal="left"/>
    </xf>
    <xf numFmtId="164" fontId="31" fillId="9" borderId="42" xfId="1" applyNumberFormat="1" applyFont="1" applyFill="1" applyBorder="1"/>
    <xf numFmtId="10" fontId="13" fillId="9" borderId="33" xfId="2" applyNumberFormat="1" applyFont="1" applyFill="1" applyBorder="1" applyAlignment="1">
      <alignment horizontal="center"/>
    </xf>
    <xf numFmtId="3" fontId="17" fillId="9" borderId="43" xfId="1" applyNumberFormat="1" applyFont="1" applyFill="1" applyBorder="1" applyAlignment="1">
      <alignment horizontal="right"/>
    </xf>
    <xf numFmtId="167" fontId="13" fillId="9" borderId="40" xfId="1" applyNumberFormat="1" applyFont="1" applyFill="1" applyBorder="1" applyAlignment="1">
      <alignment horizontal="left"/>
    </xf>
    <xf numFmtId="3" fontId="17" fillId="9" borderId="40" xfId="1" applyNumberFormat="1" applyFont="1" applyFill="1" applyBorder="1" applyAlignment="1">
      <alignment horizontal="right"/>
    </xf>
    <xf numFmtId="10" fontId="13" fillId="9" borderId="80" xfId="2" applyNumberFormat="1" applyFont="1" applyFill="1" applyBorder="1" applyAlignment="1">
      <alignment horizontal="center"/>
    </xf>
    <xf numFmtId="164" fontId="31" fillId="9" borderId="10" xfId="1" applyNumberFormat="1" applyFont="1" applyFill="1" applyBorder="1"/>
    <xf numFmtId="10" fontId="6" fillId="0" borderId="45" xfId="2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0" fontId="6" fillId="0" borderId="13" xfId="2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right"/>
    </xf>
    <xf numFmtId="164" fontId="31" fillId="9" borderId="36" xfId="1" applyNumberFormat="1" applyFont="1" applyFill="1" applyBorder="1"/>
    <xf numFmtId="164" fontId="13" fillId="9" borderId="87" xfId="1" applyNumberFormat="1" applyFont="1" applyFill="1" applyBorder="1"/>
    <xf numFmtId="3" fontId="49" fillId="0" borderId="43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0" fontId="6" fillId="0" borderId="13" xfId="2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45" xfId="2" applyNumberFormat="1" applyFont="1" applyFill="1" applyBorder="1" applyAlignment="1">
      <alignment horizontal="center" vertical="center"/>
    </xf>
    <xf numFmtId="10" fontId="19" fillId="0" borderId="105" xfId="2" applyNumberFormat="1" applyFont="1" applyFill="1" applyBorder="1" applyAlignment="1">
      <alignment horizontal="center"/>
    </xf>
    <xf numFmtId="10" fontId="19" fillId="0" borderId="68" xfId="2" applyNumberFormat="1" applyFont="1" applyFill="1" applyBorder="1" applyAlignment="1">
      <alignment horizontal="center"/>
    </xf>
    <xf numFmtId="165" fontId="6" fillId="0" borderId="69" xfId="2" applyNumberFormat="1" applyFont="1" applyFill="1" applyBorder="1" applyAlignment="1">
      <alignment horizontal="left"/>
    </xf>
    <xf numFmtId="165" fontId="6" fillId="0" borderId="39" xfId="2" applyNumberFormat="1" applyFont="1" applyFill="1" applyBorder="1" applyAlignment="1">
      <alignment horizontal="left"/>
    </xf>
    <xf numFmtId="3" fontId="17" fillId="9" borderId="54" xfId="1" applyNumberFormat="1" applyFont="1" applyFill="1" applyBorder="1" applyAlignment="1">
      <alignment horizontal="right"/>
    </xf>
    <xf numFmtId="3" fontId="13" fillId="9" borderId="104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0" fontId="6" fillId="0" borderId="13" xfId="2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45" xfId="2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/>
    </xf>
    <xf numFmtId="0" fontId="44" fillId="0" borderId="35" xfId="0" applyFont="1" applyFill="1" applyBorder="1"/>
    <xf numFmtId="0" fontId="0" fillId="0" borderId="106" xfId="0" applyFill="1" applyBorder="1"/>
    <xf numFmtId="164" fontId="14" fillId="9" borderId="50" xfId="1" applyNumberFormat="1" applyFont="1" applyFill="1" applyBorder="1"/>
    <xf numFmtId="10" fontId="13" fillId="9" borderId="66" xfId="2" applyNumberFormat="1" applyFont="1" applyFill="1" applyBorder="1" applyAlignment="1">
      <alignment horizontal="center"/>
    </xf>
    <xf numFmtId="0" fontId="0" fillId="0" borderId="88" xfId="0" applyFill="1" applyBorder="1"/>
    <xf numFmtId="0" fontId="0" fillId="0" borderId="99" xfId="0" applyFill="1" applyBorder="1"/>
    <xf numFmtId="3" fontId="17" fillId="9" borderId="88" xfId="1" applyNumberFormat="1" applyFont="1" applyFill="1" applyBorder="1" applyAlignment="1">
      <alignment horizontal="right"/>
    </xf>
    <xf numFmtId="10" fontId="13" fillId="0" borderId="67" xfId="2" applyNumberFormat="1" applyFont="1" applyFill="1" applyBorder="1" applyAlignment="1">
      <alignment horizontal="center"/>
    </xf>
    <xf numFmtId="0" fontId="15" fillId="0" borderId="36" xfId="0" applyFont="1" applyFill="1" applyBorder="1" applyAlignment="1"/>
    <xf numFmtId="171" fontId="17" fillId="9" borderId="0" xfId="1" applyNumberFormat="1" applyFont="1" applyFill="1" applyBorder="1" applyAlignment="1">
      <alignment horizontal="right"/>
    </xf>
    <xf numFmtId="10" fontId="25" fillId="0" borderId="0" xfId="2" applyNumberFormat="1" applyFont="1" applyFill="1"/>
    <xf numFmtId="10" fontId="2" fillId="2" borderId="0" xfId="0" applyNumberFormat="1" applyFont="1" applyFill="1"/>
    <xf numFmtId="0" fontId="2" fillId="2" borderId="0" xfId="0" applyFont="1" applyFill="1"/>
    <xf numFmtId="10" fontId="6" fillId="0" borderId="45" xfId="2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0" fontId="6" fillId="0" borderId="13" xfId="2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 vertical="center"/>
    </xf>
    <xf numFmtId="10" fontId="19" fillId="0" borderId="41" xfId="2" applyNumberFormat="1" applyFont="1" applyFill="1" applyBorder="1" applyAlignment="1">
      <alignment horizontal="center"/>
    </xf>
    <xf numFmtId="165" fontId="13" fillId="0" borderId="44" xfId="2" applyNumberFormat="1" applyFont="1" applyFill="1" applyBorder="1" applyAlignment="1">
      <alignment horizontal="center"/>
    </xf>
    <xf numFmtId="3" fontId="17" fillId="9" borderId="58" xfId="1" applyNumberFormat="1" applyFont="1" applyFill="1" applyBorder="1" applyAlignment="1">
      <alignment horizontal="right"/>
    </xf>
    <xf numFmtId="0" fontId="2" fillId="0" borderId="0" xfId="0" applyFont="1"/>
    <xf numFmtId="10" fontId="6" fillId="0" borderId="45" xfId="2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0" fontId="6" fillId="0" borderId="13" xfId="2" applyNumberFormat="1" applyFont="1" applyFill="1" applyBorder="1" applyAlignment="1">
      <alignment horizontal="center" vertical="center"/>
    </xf>
    <xf numFmtId="171" fontId="17" fillId="3" borderId="0" xfId="1" applyNumberFormat="1" applyFont="1" applyFill="1" applyBorder="1" applyAlignment="1">
      <alignment horizontal="right"/>
    </xf>
    <xf numFmtId="10" fontId="13" fillId="9" borderId="107" xfId="2" applyNumberFormat="1" applyFont="1" applyFill="1" applyBorder="1" applyAlignment="1">
      <alignment horizontal="center"/>
    </xf>
    <xf numFmtId="9" fontId="6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50" fillId="0" borderId="29" xfId="0" applyNumberFormat="1" applyFont="1" applyFill="1" applyBorder="1" applyAlignment="1">
      <alignment horizontal="center" vertical="center" wrapText="1"/>
    </xf>
    <xf numFmtId="10" fontId="6" fillId="0" borderId="37" xfId="0" applyNumberFormat="1" applyFont="1" applyFill="1" applyBorder="1" applyAlignment="1">
      <alignment horizontal="center" vertical="center"/>
    </xf>
    <xf numFmtId="10" fontId="13" fillId="9" borderId="15" xfId="2" applyNumberFormat="1" applyFont="1" applyFill="1" applyBorder="1" applyAlignment="1">
      <alignment horizontal="center"/>
    </xf>
    <xf numFmtId="0" fontId="47" fillId="7" borderId="28" xfId="0" applyFont="1" applyFill="1" applyBorder="1" applyAlignment="1">
      <alignment horizontal="center"/>
    </xf>
    <xf numFmtId="0" fontId="47" fillId="7" borderId="16" xfId="0" applyFont="1" applyFill="1" applyBorder="1" applyAlignment="1">
      <alignment horizontal="center"/>
    </xf>
    <xf numFmtId="0" fontId="47" fillId="7" borderId="69" xfId="0" applyFont="1" applyFill="1" applyBorder="1" applyAlignment="1">
      <alignment horizontal="center"/>
    </xf>
    <xf numFmtId="0" fontId="46" fillId="6" borderId="13" xfId="0" applyFont="1" applyFill="1" applyBorder="1" applyAlignment="1">
      <alignment horizontal="center" vertical="center"/>
    </xf>
    <xf numFmtId="0" fontId="46" fillId="6" borderId="45" xfId="0" applyFont="1" applyFill="1" applyBorder="1" applyAlignment="1">
      <alignment horizontal="center" vertical="center"/>
    </xf>
    <xf numFmtId="0" fontId="46" fillId="6" borderId="46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/>
    </xf>
    <xf numFmtId="0" fontId="44" fillId="6" borderId="45" xfId="0" applyFont="1" applyFill="1" applyBorder="1" applyAlignment="1">
      <alignment horizontal="center" vertical="center"/>
    </xf>
    <xf numFmtId="0" fontId="44" fillId="6" borderId="4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0" fontId="6" fillId="0" borderId="16" xfId="2" applyNumberFormat="1" applyFont="1" applyFill="1" applyBorder="1" applyAlignment="1">
      <alignment horizontal="center" vertical="center"/>
    </xf>
    <xf numFmtId="10" fontId="6" fillId="0" borderId="0" xfId="2" applyNumberFormat="1" applyFont="1" applyFill="1" applyBorder="1" applyAlignment="1">
      <alignment horizontal="center" vertical="center"/>
    </xf>
    <xf numFmtId="10" fontId="6" fillId="0" borderId="45" xfId="2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0" borderId="93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64" fontId="0" fillId="0" borderId="27" xfId="1" applyNumberFormat="1" applyFont="1" applyFill="1" applyBorder="1" applyAlignment="1">
      <alignment horizontal="center"/>
    </xf>
    <xf numFmtId="164" fontId="0" fillId="0" borderId="80" xfId="1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 vertical="center"/>
    </xf>
    <xf numFmtId="10" fontId="6" fillId="0" borderId="23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0" fontId="6" fillId="0" borderId="5" xfId="2" applyNumberFormat="1" applyFont="1" applyFill="1" applyBorder="1" applyAlignment="1">
      <alignment horizontal="center" vertical="center"/>
    </xf>
    <xf numFmtId="10" fontId="6" fillId="0" borderId="36" xfId="2" applyNumberFormat="1" applyFont="1" applyFill="1" applyBorder="1" applyAlignment="1">
      <alignment horizontal="center" vertical="center"/>
    </xf>
    <xf numFmtId="10" fontId="6" fillId="0" borderId="10" xfId="2" applyNumberFormat="1" applyFont="1" applyFill="1" applyBorder="1" applyAlignment="1">
      <alignment horizontal="center" vertical="center"/>
    </xf>
    <xf numFmtId="9" fontId="6" fillId="0" borderId="94" xfId="0" applyNumberFormat="1" applyFont="1" applyFill="1" applyBorder="1" applyAlignment="1">
      <alignment horizontal="center" vertical="center"/>
    </xf>
    <xf numFmtId="9" fontId="6" fillId="0" borderId="37" xfId="0" applyNumberFormat="1" applyFont="1" applyFill="1" applyBorder="1" applyAlignment="1">
      <alignment horizontal="center" vertical="center"/>
    </xf>
    <xf numFmtId="9" fontId="6" fillId="0" borderId="6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0" fontId="6" fillId="0" borderId="93" xfId="2" applyNumberFormat="1" applyFont="1" applyFill="1" applyBorder="1" applyAlignment="1">
      <alignment horizontal="center" vertical="center"/>
    </xf>
    <xf numFmtId="10" fontId="6" fillId="0" borderId="17" xfId="2" applyNumberFormat="1" applyFont="1" applyFill="1" applyBorder="1" applyAlignment="1">
      <alignment horizontal="center" vertical="center"/>
    </xf>
    <xf numFmtId="10" fontId="6" fillId="0" borderId="49" xfId="2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9" fontId="6" fillId="0" borderId="36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distributed"/>
    </xf>
    <xf numFmtId="0" fontId="6" fillId="0" borderId="36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5" fontId="13" fillId="0" borderId="27" xfId="2" applyNumberFormat="1" applyFont="1" applyFill="1" applyBorder="1" applyAlignment="1">
      <alignment horizontal="center" vertical="center"/>
    </xf>
    <xf numFmtId="165" fontId="13" fillId="0" borderId="23" xfId="2" applyNumberFormat="1" applyFont="1" applyFill="1" applyBorder="1" applyAlignment="1">
      <alignment horizontal="center" vertical="center"/>
    </xf>
    <xf numFmtId="165" fontId="13" fillId="0" borderId="48" xfId="2" applyNumberFormat="1" applyFont="1" applyFill="1" applyBorder="1" applyAlignment="1">
      <alignment horizontal="center" vertical="center"/>
    </xf>
    <xf numFmtId="10" fontId="6" fillId="0" borderId="28" xfId="2" applyNumberFormat="1" applyFont="1" applyFill="1" applyBorder="1" applyAlignment="1">
      <alignment horizontal="center" vertical="center"/>
    </xf>
    <xf numFmtId="10" fontId="6" fillId="0" borderId="35" xfId="2" applyNumberFormat="1" applyFont="1" applyFill="1" applyBorder="1" applyAlignment="1">
      <alignment horizontal="center" vertical="center"/>
    </xf>
    <xf numFmtId="10" fontId="6" fillId="0" borderId="13" xfId="2" applyNumberFormat="1" applyFont="1" applyFill="1" applyBorder="1" applyAlignment="1">
      <alignment horizontal="center" vertical="center"/>
    </xf>
    <xf numFmtId="10" fontId="6" fillId="0" borderId="92" xfId="2" applyNumberFormat="1" applyFont="1" applyFill="1" applyBorder="1" applyAlignment="1">
      <alignment horizontal="center" vertical="center"/>
    </xf>
    <xf numFmtId="10" fontId="6" fillId="0" borderId="29" xfId="2" applyNumberFormat="1" applyFont="1" applyFill="1" applyBorder="1" applyAlignment="1">
      <alignment horizontal="center" vertical="center"/>
    </xf>
    <xf numFmtId="10" fontId="6" fillId="0" borderId="9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92" xfId="0" applyNumberFormat="1" applyFont="1" applyFill="1" applyBorder="1" applyAlignment="1">
      <alignment horizontal="center" vertical="center" wrapText="1"/>
    </xf>
    <xf numFmtId="0" fontId="50" fillId="0" borderId="2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10" fontId="6" fillId="0" borderId="94" xfId="0" applyNumberFormat="1" applyFont="1" applyFill="1" applyBorder="1" applyAlignment="1">
      <alignment horizontal="center" vertical="center"/>
    </xf>
    <xf numFmtId="10" fontId="6" fillId="0" borderId="37" xfId="0" applyNumberFormat="1" applyFont="1" applyFill="1" applyBorder="1" applyAlignment="1">
      <alignment horizontal="center" vertical="center"/>
    </xf>
    <xf numFmtId="10" fontId="6" fillId="0" borderId="65" xfId="0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COMPOSIÇÃO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91,55%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8,45%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('FFPREV Junho 2018'!$B$64,'FFPREV Junho 2018'!$B$65)</c:f>
              <c:strCache>
                <c:ptCount val="2"/>
                <c:pt idx="0">
                  <c:v>Renda Fixa</c:v>
                </c:pt>
                <c:pt idx="1">
                  <c:v>Renda Variável</c:v>
                </c:pt>
              </c:strCache>
            </c:strRef>
          </c:cat>
          <c:val>
            <c:numRef>
              <c:f>('FFPREV Junho 2018'!$H$64,'FFPREV Junho 2018'!$H$65)</c:f>
              <c:numCache>
                <c:formatCode>0.00%</c:formatCode>
                <c:ptCount val="2"/>
                <c:pt idx="0">
                  <c:v>0.91547993977688757</c:v>
                </c:pt>
                <c:pt idx="1">
                  <c:v>8.4501102407481876E-2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COMPOSIÇÃO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91,55%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8,45%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('FFPREV Julho 2018'!$B$65,'FFPREV Julho 2018'!$B$66)</c:f>
              <c:strCache>
                <c:ptCount val="2"/>
                <c:pt idx="0">
                  <c:v>Renda Fixa</c:v>
                </c:pt>
                <c:pt idx="1">
                  <c:v>Renda Variável</c:v>
                </c:pt>
              </c:strCache>
            </c:strRef>
          </c:cat>
          <c:val>
            <c:numRef>
              <c:f>('FFPREV Julho 2018'!$H$65,'FFPREV Julho 2018'!$H$66)</c:f>
              <c:numCache>
                <c:formatCode>0.00%</c:formatCode>
                <c:ptCount val="2"/>
                <c:pt idx="0">
                  <c:v>0.91504301401984223</c:v>
                </c:pt>
                <c:pt idx="1">
                  <c:v>8.4916142861329827E-2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68</xdr:row>
      <xdr:rowOff>33337</xdr:rowOff>
    </xdr:from>
    <xdr:to>
      <xdr:col>6</xdr:col>
      <xdr:colOff>1000125</xdr:colOff>
      <xdr:row>82</xdr:row>
      <xdr:rowOff>109537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69</xdr:row>
      <xdr:rowOff>33337</xdr:rowOff>
    </xdr:from>
    <xdr:to>
      <xdr:col>6</xdr:col>
      <xdr:colOff>1000125</xdr:colOff>
      <xdr:row>83</xdr:row>
      <xdr:rowOff>109537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FINPrev%20%202018%20e%20Me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FINPrev%20%202017%20e%20Me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FIN2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INPrev Janeiro 2018"/>
      <sheetName val="FFINPrev Fevereiro 2018"/>
    </sheetNames>
    <sheetDataSet>
      <sheetData sheetId="0">
        <row r="5">
          <cell r="G5">
            <v>12875248.58</v>
          </cell>
          <cell r="I5">
            <v>8.0999999999999996E-3</v>
          </cell>
        </row>
        <row r="6">
          <cell r="G6">
            <v>6577491.8399999999</v>
          </cell>
          <cell r="I6">
            <v>2.1999999999999999E-2</v>
          </cell>
        </row>
        <row r="7">
          <cell r="G7">
            <v>11623698.9</v>
          </cell>
          <cell r="I7">
            <v>3.7499999999999999E-2</v>
          </cell>
        </row>
        <row r="8">
          <cell r="G8">
            <v>11036055</v>
          </cell>
          <cell r="I8">
            <v>5.1700000000000003E-2</v>
          </cell>
        </row>
        <row r="10">
          <cell r="G10">
            <v>17532472.039999999</v>
          </cell>
          <cell r="I10">
            <v>1.2869999999999999E-2</v>
          </cell>
        </row>
        <row r="11">
          <cell r="G11">
            <v>41791770.380000003</v>
          </cell>
          <cell r="I11">
            <v>1.3073E-2</v>
          </cell>
        </row>
        <row r="12">
          <cell r="G12">
            <v>50959803.170000002</v>
          </cell>
          <cell r="I12">
            <v>1.3703E-2</v>
          </cell>
        </row>
        <row r="14">
          <cell r="M14">
            <v>279603229.01999998</v>
          </cell>
        </row>
        <row r="15">
          <cell r="G15">
            <v>19653487.77</v>
          </cell>
          <cell r="I15">
            <v>1.3122E-2</v>
          </cell>
        </row>
        <row r="16">
          <cell r="G16">
            <v>21406257.32</v>
          </cell>
          <cell r="I16">
            <v>3.3029000000000003E-2</v>
          </cell>
        </row>
        <row r="18">
          <cell r="G18">
            <v>37070.94</v>
          </cell>
        </row>
        <row r="19">
          <cell r="G19">
            <v>8422590.2200000007</v>
          </cell>
          <cell r="I19">
            <v>1.49E-2</v>
          </cell>
        </row>
        <row r="20">
          <cell r="G20">
            <v>1061034.25</v>
          </cell>
          <cell r="I20">
            <v>5.7000000000000002E-3</v>
          </cell>
        </row>
        <row r="37">
          <cell r="G37">
            <v>7199602.6399999997</v>
          </cell>
          <cell r="I37">
            <v>9.2200000000000004E-2</v>
          </cell>
        </row>
        <row r="38">
          <cell r="G38">
            <v>3947319.62</v>
          </cell>
          <cell r="I38">
            <v>0.13789999999999999</v>
          </cell>
        </row>
        <row r="39">
          <cell r="G39">
            <v>4528020.24</v>
          </cell>
          <cell r="I39">
            <v>5.4800000000000001E-2</v>
          </cell>
        </row>
        <row r="45">
          <cell r="G45">
            <v>3526016.27</v>
          </cell>
          <cell r="I45">
            <v>5.3831999999999998E-2</v>
          </cell>
        </row>
        <row r="46">
          <cell r="G46">
            <v>3199083.6</v>
          </cell>
          <cell r="I46">
            <v>-1.9E-3</v>
          </cell>
        </row>
        <row r="54">
          <cell r="G54">
            <v>233971071.34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FFINPrev Janeiro 2017"/>
      <sheetName val="FFINPrev Fevereiro 2017"/>
      <sheetName val="FFINPrev Março 2017"/>
      <sheetName val="FFINPrev Abril 2017"/>
      <sheetName val="FFINPrev Maio 2017"/>
      <sheetName val="FFINPrev Junho 2017"/>
      <sheetName val="FFINPrev Julho 2017"/>
      <sheetName val="FFINPrev Agosto 2017"/>
      <sheetName val="FFINPrev Setembro 2017"/>
      <sheetName val="FFINPrev Outubro 2017"/>
      <sheetName val="FFINPrev Novembro 2017"/>
      <sheetName val="FFINPrev Dezembro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G57">
            <v>188735208.34999999</v>
          </cell>
        </row>
      </sheetData>
      <sheetData sheetId="10"/>
      <sheetData sheetId="11"/>
      <sheetData sheetId="12">
        <row r="5">
          <cell r="G5">
            <v>12772420.35</v>
          </cell>
        </row>
        <row r="18">
          <cell r="I18">
            <v>5.3E-3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FFIN2 Janeiro 2018"/>
      <sheetName val="FFIN2 Fevereiro 2018"/>
      <sheetName val="FFIN2 Março 2018"/>
      <sheetName val="FFIN2 Abril 2018"/>
      <sheetName val="FFIN2 Maio 2018"/>
      <sheetName val="FFIN2 Junho 2018"/>
      <sheetName val="FFIN2 Julho 2018"/>
    </sheetNames>
    <sheetDataSet>
      <sheetData sheetId="0" refreshError="1"/>
      <sheetData sheetId="1">
        <row r="70">
          <cell r="G70">
            <v>763001936.16999996</v>
          </cell>
        </row>
        <row r="71">
          <cell r="B71" t="str">
            <v>Meta Atuarial(INPC 0,23 + 0,486755)</v>
          </cell>
          <cell r="H71">
            <v>0.1114</v>
          </cell>
          <cell r="K71">
            <v>2.64E-2</v>
          </cell>
          <cell r="N71">
            <v>1.2985E-2</v>
          </cell>
        </row>
        <row r="72">
          <cell r="H72">
            <v>0.1074</v>
          </cell>
          <cell r="K72">
            <v>3.4013000000000002E-2</v>
          </cell>
          <cell r="N72">
            <v>5.9239999999999996E-3</v>
          </cell>
        </row>
        <row r="73">
          <cell r="E73">
            <v>2.3E-3</v>
          </cell>
          <cell r="H73">
            <v>0.1171</v>
          </cell>
          <cell r="K73">
            <v>1.7559999999999999E-2</v>
          </cell>
          <cell r="N73">
            <v>1.5476999999999999E-2</v>
          </cell>
        </row>
        <row r="74">
          <cell r="E74">
            <v>5.7999999999999996E-3</v>
          </cell>
          <cell r="H74">
            <v>4.3400000000000001E-2</v>
          </cell>
          <cell r="K74">
            <v>1.3336000000000001E-2</v>
          </cell>
          <cell r="N74">
            <v>4.3695999999999999E-2</v>
          </cell>
        </row>
        <row r="75">
          <cell r="E75">
            <v>2.8999999999999998E-3</v>
          </cell>
          <cell r="H75">
            <v>9.8799999999999999E-2</v>
          </cell>
          <cell r="K75">
            <v>4.9485000000000001E-2</v>
          </cell>
          <cell r="N75">
            <v>5.8300000000000001E-3</v>
          </cell>
        </row>
      </sheetData>
      <sheetData sheetId="2">
        <row r="71">
          <cell r="G71">
            <v>783953158.96000004</v>
          </cell>
        </row>
        <row r="72">
          <cell r="B72" t="str">
            <v>Meta Atuarial(INPC 0,18 + 0,486755)</v>
          </cell>
          <cell r="H72">
            <v>5.1999999999999998E-3</v>
          </cell>
          <cell r="K72">
            <v>1.15E-2</v>
          </cell>
          <cell r="N72">
            <v>1.1023E-2</v>
          </cell>
        </row>
        <row r="73">
          <cell r="E73">
            <v>9.1000000000000004E-3</v>
          </cell>
          <cell r="H73">
            <v>4.1999999999999997E-3</v>
          </cell>
          <cell r="K73">
            <v>5.4860000000000004E-3</v>
          </cell>
          <cell r="N73">
            <v>5.4099999999999999E-3</v>
          </cell>
        </row>
        <row r="74">
          <cell r="E74">
            <v>1.8E-3</v>
          </cell>
          <cell r="H74">
            <v>4.3E-3</v>
          </cell>
          <cell r="K74">
            <v>7.1640000000000002E-3</v>
          </cell>
          <cell r="N74">
            <v>1.315E-2</v>
          </cell>
        </row>
        <row r="75">
          <cell r="E75">
            <v>4.5999999999999999E-3</v>
          </cell>
          <cell r="H75">
            <v>-3.7000000000000002E-3</v>
          </cell>
          <cell r="K75">
            <v>5.3920000000000001E-3</v>
          </cell>
          <cell r="N75">
            <v>5.2880000000000002E-3</v>
          </cell>
        </row>
        <row r="76">
          <cell r="H76">
            <v>-6.1000000000000004E-3</v>
          </cell>
          <cell r="K76">
            <v>5.5659999999999998E-3</v>
          </cell>
          <cell r="N76">
            <v>4.5820000000000001E-3</v>
          </cell>
        </row>
      </sheetData>
      <sheetData sheetId="3">
        <row r="70">
          <cell r="G70">
            <v>782015535.8900001</v>
          </cell>
        </row>
        <row r="71">
          <cell r="B71" t="str">
            <v>Meta Atuarial(INPC 0,07 + 0,486755)</v>
          </cell>
          <cell r="E71">
            <v>5.5999999999999999E-3</v>
          </cell>
        </row>
        <row r="72">
          <cell r="K72">
            <v>5.4860000000000004E-3</v>
          </cell>
          <cell r="N72">
            <v>5.4099999999999999E-3</v>
          </cell>
        </row>
        <row r="73">
          <cell r="E73">
            <v>1.8E-3</v>
          </cell>
          <cell r="H73">
            <v>4.3E-3</v>
          </cell>
          <cell r="K73">
            <v>7.1640000000000002E-3</v>
          </cell>
          <cell r="N73">
            <v>1.315E-2</v>
          </cell>
        </row>
        <row r="74">
          <cell r="E74">
            <v>4.5999999999999999E-3</v>
          </cell>
          <cell r="H74">
            <v>-3.7000000000000002E-3</v>
          </cell>
          <cell r="K74">
            <v>5.3920000000000001E-3</v>
          </cell>
          <cell r="N74">
            <v>5.2880000000000002E-3</v>
          </cell>
        </row>
        <row r="75">
          <cell r="E75">
            <v>3.2000000000000002E-3</v>
          </cell>
          <cell r="H75">
            <v>-6.1000000000000004E-3</v>
          </cell>
          <cell r="K75">
            <v>5.5659999999999998E-3</v>
          </cell>
          <cell r="N75">
            <v>4.5820000000000001E-3</v>
          </cell>
        </row>
        <row r="76">
          <cell r="H76" t="str">
            <v xml:space="preserve"> </v>
          </cell>
        </row>
      </sheetData>
      <sheetData sheetId="4">
        <row r="71">
          <cell r="G71">
            <v>786386020.14999998</v>
          </cell>
        </row>
        <row r="72">
          <cell r="B72" t="str">
            <v>Meta Atuarial(INPC 0,21 + 0,486755)</v>
          </cell>
          <cell r="E72">
            <v>6.9769999999999997E-3</v>
          </cell>
        </row>
        <row r="73">
          <cell r="H73">
            <v>8.2000000000000007E-3</v>
          </cell>
          <cell r="K73">
            <v>-1.438E-3</v>
          </cell>
          <cell r="N73">
            <v>5.0549999999999996E-3</v>
          </cell>
        </row>
        <row r="74">
          <cell r="E74">
            <v>2.0999999999999999E-3</v>
          </cell>
          <cell r="H74">
            <v>6.4000000000000003E-3</v>
          </cell>
          <cell r="K74">
            <v>3.1840000000000002E-3</v>
          </cell>
          <cell r="N74">
            <v>4.5319999999999996E-3</v>
          </cell>
        </row>
        <row r="75">
          <cell r="E75">
            <v>5.1999999999999998E-3</v>
          </cell>
          <cell r="H75">
            <v>2.3699999999999999E-2</v>
          </cell>
          <cell r="K75">
            <v>4.215E-3</v>
          </cell>
          <cell r="N75">
            <v>9.7990000000000004E-3</v>
          </cell>
        </row>
        <row r="76">
          <cell r="E76">
            <v>2.2000000000000001E-3</v>
          </cell>
          <cell r="H76">
            <v>-1.4200000000000001E-2</v>
          </cell>
          <cell r="K76">
            <v>-6.2899999999999996E-3</v>
          </cell>
          <cell r="N76">
            <v>5.1460000000000004E-3</v>
          </cell>
        </row>
        <row r="77">
          <cell r="H77" t="str">
            <v xml:space="preserve"> </v>
          </cell>
        </row>
      </sheetData>
      <sheetData sheetId="5">
        <row r="70">
          <cell r="G70">
            <v>766671103.22000003</v>
          </cell>
        </row>
        <row r="71">
          <cell r="B71" t="str">
            <v>Meta Atuarial(INPC 0,43 + 0,486755)</v>
          </cell>
          <cell r="K71">
            <v>-5.2699999999999997E-2</v>
          </cell>
          <cell r="N71">
            <v>-1.8533000000000001E-2</v>
          </cell>
        </row>
        <row r="72">
          <cell r="K72">
            <v>-3.1569E-2</v>
          </cell>
          <cell r="N72">
            <v>1.9810000000000001E-3</v>
          </cell>
        </row>
        <row r="73">
          <cell r="E73">
            <v>4.3E-3</v>
          </cell>
          <cell r="H73">
            <v>-0.10879999999999999</v>
          </cell>
          <cell r="K73">
            <v>-1.4263E-2</v>
          </cell>
          <cell r="N73">
            <v>-2.623E-2</v>
          </cell>
        </row>
        <row r="74">
          <cell r="E74">
            <v>5.1999999999999998E-3</v>
          </cell>
          <cell r="H74">
            <v>-0.11310000000000001</v>
          </cell>
          <cell r="K74">
            <v>-1.5573E-2</v>
          </cell>
          <cell r="N74">
            <v>-4.6569999999999997E-3</v>
          </cell>
        </row>
        <row r="75">
          <cell r="E75">
            <v>4.0000000000000001E-3</v>
          </cell>
          <cell r="H75">
            <v>-0.1053</v>
          </cell>
          <cell r="K75">
            <v>-4.6530000000000002E-2</v>
          </cell>
          <cell r="N75">
            <v>5.0229999999999997E-3</v>
          </cell>
        </row>
      </sheetData>
      <sheetData sheetId="6">
        <row r="71">
          <cell r="G71">
            <v>766292731.41000009</v>
          </cell>
        </row>
        <row r="72">
          <cell r="B72" t="str">
            <v>Meta Atuarial(INPC 1,43 + 0,486755)</v>
          </cell>
          <cell r="E72">
            <v>1.9199999999999998E-2</v>
          </cell>
          <cell r="H72">
            <v>-5.1999999999999998E-2</v>
          </cell>
          <cell r="K72">
            <v>-4.0099999999999997E-2</v>
          </cell>
          <cell r="N72">
            <v>4.4200000000000001E-4</v>
          </cell>
        </row>
        <row r="73">
          <cell r="H73">
            <v>-5.1999999999999998E-2</v>
          </cell>
          <cell r="K73">
            <v>-3.2009999999999999E-3</v>
          </cell>
          <cell r="N73">
            <v>5.45E-3</v>
          </cell>
        </row>
        <row r="74">
          <cell r="E74">
            <v>1.43E-2</v>
          </cell>
          <cell r="H74">
            <v>-5.2999999999999999E-2</v>
          </cell>
          <cell r="K74">
            <v>1.199E-3</v>
          </cell>
          <cell r="N74">
            <v>-1.4630000000000001E-3</v>
          </cell>
        </row>
        <row r="75">
          <cell r="E75">
            <v>5.1999999999999998E-3</v>
          </cell>
          <cell r="H75">
            <v>-3.6600000000000001E-2</v>
          </cell>
          <cell r="K75">
            <v>4.4970000000000001E-3</v>
          </cell>
          <cell r="N75">
            <v>6.8910000000000004E-3</v>
          </cell>
        </row>
        <row r="76">
          <cell r="E76">
            <v>1.26E-2</v>
          </cell>
          <cell r="H76">
            <v>-4.3299999999999998E-2</v>
          </cell>
          <cell r="K76">
            <v>-1.0784999999999999E-2</v>
          </cell>
          <cell r="N76">
            <v>5.208E-3</v>
          </cell>
        </row>
      </sheetData>
      <sheetData sheetId="7">
        <row r="72">
          <cell r="G72">
            <v>784344373.97000003</v>
          </cell>
        </row>
        <row r="73">
          <cell r="B73" t="str">
            <v>Meta Atuarial(INPC 0,25 + 0,486755)</v>
          </cell>
          <cell r="E73">
            <v>7.6E-3</v>
          </cell>
          <cell r="H73">
            <v>8.8800000000000004E-2</v>
          </cell>
          <cell r="K73">
            <v>1.37E-2</v>
          </cell>
          <cell r="N73">
            <v>1.4744E-2</v>
          </cell>
        </row>
        <row r="74">
          <cell r="H74">
            <v>8.8400000000000006E-2</v>
          </cell>
          <cell r="K74">
            <v>2.3153E-2</v>
          </cell>
          <cell r="N74">
            <v>6.6020000000000002E-3</v>
          </cell>
        </row>
        <row r="75">
          <cell r="E75">
            <v>2.5000000000000001E-3</v>
          </cell>
          <cell r="H75">
            <v>8.9200000000000002E-2</v>
          </cell>
          <cell r="K75">
            <v>1.4142999999999999E-2</v>
          </cell>
          <cell r="N75">
            <v>1.7947999999999999E-2</v>
          </cell>
        </row>
        <row r="76">
          <cell r="E76">
            <v>5.4000000000000003E-3</v>
          </cell>
          <cell r="H76">
            <v>5.0900000000000001E-2</v>
          </cell>
          <cell r="K76">
            <v>1.4765E-2</v>
          </cell>
          <cell r="N76">
            <v>2.2756999999999999E-2</v>
          </cell>
        </row>
        <row r="77">
          <cell r="E77">
            <v>3.3E-3</v>
          </cell>
          <cell r="H77">
            <v>7.2700000000000001E-2</v>
          </cell>
          <cell r="K77">
            <v>3.1461999999999997E-2</v>
          </cell>
          <cell r="N77">
            <v>5.4429999999999999E-3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Consolidado Janeiro 2018"/>
      <sheetName val="Consolidado fevereiro 2018"/>
      <sheetName val="Consolidado Março 2018"/>
      <sheetName val="Consolidado Abril 2018"/>
      <sheetName val="Consolidado Maio 2018"/>
      <sheetName val="Consolidado Junho 2018"/>
      <sheetName val="Consolidado Julho 2018"/>
    </sheetNames>
    <sheetDataSet>
      <sheetData sheetId="0" refreshError="1"/>
      <sheetData sheetId="1">
        <row r="96">
          <cell r="G96">
            <v>997022105.08999991</v>
          </cell>
        </row>
        <row r="102">
          <cell r="G102">
            <v>807956930.27999997</v>
          </cell>
        </row>
        <row r="103">
          <cell r="G103">
            <v>181662482.19</v>
          </cell>
        </row>
        <row r="104">
          <cell r="G104">
            <v>7402692.6200000001</v>
          </cell>
        </row>
      </sheetData>
      <sheetData sheetId="2">
        <row r="98">
          <cell r="G98">
            <v>1024121203.25</v>
          </cell>
        </row>
        <row r="104">
          <cell r="M104">
            <v>838658112.35000002</v>
          </cell>
        </row>
        <row r="105">
          <cell r="M105">
            <v>184803995.55999997</v>
          </cell>
        </row>
        <row r="106">
          <cell r="M106">
            <v>659095.34000000008</v>
          </cell>
        </row>
      </sheetData>
      <sheetData sheetId="3">
        <row r="97">
          <cell r="G97">
            <v>1029990695.5500001</v>
          </cell>
        </row>
      </sheetData>
      <sheetData sheetId="4">
        <row r="99">
          <cell r="G99">
            <v>1039971380.28</v>
          </cell>
        </row>
      </sheetData>
      <sheetData sheetId="5">
        <row r="100">
          <cell r="G100">
            <v>1019229029.8900001</v>
          </cell>
        </row>
      </sheetData>
      <sheetData sheetId="6">
        <row r="102">
          <cell r="G102">
            <v>1023887282.1300001</v>
          </cell>
        </row>
      </sheetData>
      <sheetData sheetId="7">
        <row r="104">
          <cell r="G104">
            <v>1051861407.77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52" workbookViewId="0">
      <selection activeCell="H76" sqref="H76"/>
    </sheetView>
  </sheetViews>
  <sheetFormatPr defaultRowHeight="15" x14ac:dyDescent="0.25"/>
  <cols>
    <col min="1" max="1" width="33.42578125" bestFit="1" customWidth="1"/>
    <col min="14" max="14" width="12" customWidth="1"/>
  </cols>
  <sheetData>
    <row r="1" spans="1:14" ht="18" x14ac:dyDescent="0.25">
      <c r="A1" s="495" t="s">
        <v>165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7"/>
    </row>
    <row r="2" spans="1:14" ht="15.75" thickBot="1" x14ac:dyDescent="0.3">
      <c r="A2" s="498" t="s">
        <v>162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500"/>
    </row>
    <row r="3" spans="1:14" ht="15.75" thickBot="1" x14ac:dyDescent="0.3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ht="15.75" thickBot="1" x14ac:dyDescent="0.3">
      <c r="A4" s="358" t="s">
        <v>159</v>
      </c>
      <c r="B4" s="364">
        <v>42005</v>
      </c>
      <c r="C4" s="364">
        <v>42036</v>
      </c>
      <c r="D4" s="364">
        <v>42064</v>
      </c>
      <c r="E4" s="364">
        <v>42095</v>
      </c>
      <c r="F4" s="364">
        <v>42125</v>
      </c>
      <c r="G4" s="364">
        <v>42156</v>
      </c>
      <c r="H4" s="364">
        <v>42186</v>
      </c>
      <c r="I4" s="364">
        <v>42217</v>
      </c>
      <c r="J4" s="364">
        <v>42248</v>
      </c>
      <c r="K4" s="364">
        <v>42278</v>
      </c>
      <c r="L4" s="364">
        <v>42309</v>
      </c>
      <c r="M4" s="364">
        <v>42339</v>
      </c>
      <c r="N4" s="354" t="s">
        <v>158</v>
      </c>
    </row>
    <row r="5" spans="1:14" ht="15.75" thickBot="1" x14ac:dyDescent="0.3">
      <c r="A5" s="353" t="s">
        <v>157</v>
      </c>
      <c r="B5" s="349">
        <v>0.57999999999999996</v>
      </c>
      <c r="C5" s="349">
        <v>1.91</v>
      </c>
      <c r="D5" s="349">
        <v>1.1200000000000001</v>
      </c>
      <c r="E5" s="349">
        <v>1.75</v>
      </c>
      <c r="F5" s="349">
        <v>0.77</v>
      </c>
      <c r="G5" s="349">
        <v>0.57999999999999996</v>
      </c>
      <c r="H5" s="349">
        <v>1.44</v>
      </c>
      <c r="I5" s="351">
        <v>-1.74</v>
      </c>
      <c r="J5" s="349">
        <v>0.46</v>
      </c>
      <c r="K5" s="349">
        <v>2.5299999999999998</v>
      </c>
      <c r="L5" s="349">
        <v>0.68</v>
      </c>
      <c r="M5" s="349">
        <v>1.42</v>
      </c>
      <c r="N5" s="348">
        <f>((PRODUCT(1+B5/100,1+C5/100,1+D5/100,1+E5/100,1+F5/100,1+G5/100,1+H5/100,1+I5/100,1+J5/100,1+K5/100,1+L5/100,1+M5/100))-1)*100</f>
        <v>12.05719477022873</v>
      </c>
    </row>
    <row r="6" spans="1:14" ht="15.75" thickBot="1" x14ac:dyDescent="0.3">
      <c r="A6" s="350" t="s">
        <v>156</v>
      </c>
      <c r="B6" s="349">
        <v>1.98</v>
      </c>
      <c r="C6" s="349">
        <v>1.66</v>
      </c>
      <c r="D6" s="349">
        <v>2.0099999999999998</v>
      </c>
      <c r="E6" s="349">
        <v>1.21</v>
      </c>
      <c r="F6" s="349">
        <v>1.24</v>
      </c>
      <c r="G6" s="349">
        <v>1.29</v>
      </c>
      <c r="H6" s="349">
        <v>1.08</v>
      </c>
      <c r="I6" s="349">
        <v>0.75</v>
      </c>
      <c r="J6" s="349">
        <v>1.01</v>
      </c>
      <c r="K6" s="349">
        <v>1.27</v>
      </c>
      <c r="L6" s="349">
        <v>1.61</v>
      </c>
      <c r="M6" s="349">
        <v>1.4</v>
      </c>
      <c r="N6" s="348">
        <f>((PRODUCT(1+B6/100,1+C6/100,1+D6/100,1+E6/100,1+F6/100,1+G6/100,1+H6/100,1+I6/100,1+J6/100,1+K6/100,1+L6/100,1+M6/100))-1)*100</f>
        <v>17.809379493600819</v>
      </c>
    </row>
    <row r="7" spans="1:14" ht="15.75" thickBot="1" x14ac:dyDescent="0.3">
      <c r="A7" s="350" t="s">
        <v>54</v>
      </c>
      <c r="B7" s="349">
        <v>0.93</v>
      </c>
      <c r="C7" s="349">
        <v>0.82</v>
      </c>
      <c r="D7" s="349">
        <v>1.04</v>
      </c>
      <c r="E7" s="349">
        <v>0.95</v>
      </c>
      <c r="F7" s="349">
        <v>0.98</v>
      </c>
      <c r="G7" s="349">
        <v>1.07</v>
      </c>
      <c r="H7" s="349">
        <v>1.18</v>
      </c>
      <c r="I7" s="349">
        <v>1.1100000000000001</v>
      </c>
      <c r="J7" s="349">
        <v>1.1100000000000001</v>
      </c>
      <c r="K7" s="349">
        <v>1.1100000000000001</v>
      </c>
      <c r="L7" s="349">
        <v>1.06</v>
      </c>
      <c r="M7" s="349">
        <v>1.1599999999999999</v>
      </c>
      <c r="N7" s="348">
        <f>((PRODUCT(1+B7/100,1+C7/100,1+D7/100,1+E7/100,1+F7/100,1+G7/100,1+H7/100,1+I7/100,1+J7/100,1+K7/100,1+L7/100,1+M7/100))-1)*100</f>
        <v>13.263344108432683</v>
      </c>
    </row>
    <row r="8" spans="1:14" ht="15.75" thickBot="1" x14ac:dyDescent="0.3">
      <c r="A8" s="363" t="s">
        <v>155</v>
      </c>
      <c r="B8" s="361">
        <f t="shared" ref="B8:N8" si="0">B5-B6</f>
        <v>-1.4</v>
      </c>
      <c r="C8" s="362">
        <f t="shared" si="0"/>
        <v>0.25</v>
      </c>
      <c r="D8" s="361">
        <f t="shared" si="0"/>
        <v>-0.88999999999999968</v>
      </c>
      <c r="E8" s="362">
        <f t="shared" si="0"/>
        <v>0.54</v>
      </c>
      <c r="F8" s="361">
        <f t="shared" si="0"/>
        <v>-0.47</v>
      </c>
      <c r="G8" s="361">
        <f t="shared" si="0"/>
        <v>-0.71000000000000008</v>
      </c>
      <c r="H8" s="366">
        <f t="shared" si="0"/>
        <v>0.35999999999999988</v>
      </c>
      <c r="I8" s="361">
        <f t="shared" si="0"/>
        <v>-2.4900000000000002</v>
      </c>
      <c r="J8" s="361">
        <f t="shared" si="0"/>
        <v>-0.55000000000000004</v>
      </c>
      <c r="K8" s="341">
        <f t="shared" si="0"/>
        <v>1.2599999999999998</v>
      </c>
      <c r="L8" s="361">
        <f t="shared" si="0"/>
        <v>-0.93</v>
      </c>
      <c r="M8" s="341">
        <f t="shared" si="0"/>
        <v>2.0000000000000018E-2</v>
      </c>
      <c r="N8" s="361">
        <f t="shared" si="0"/>
        <v>-5.7521847233720891</v>
      </c>
    </row>
    <row r="9" spans="1:14" ht="15.75" thickBot="1" x14ac:dyDescent="0.3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1:14" ht="18" x14ac:dyDescent="0.25">
      <c r="A10" s="495" t="s">
        <v>161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7"/>
    </row>
    <row r="11" spans="1:14" ht="15.75" thickBot="1" x14ac:dyDescent="0.3">
      <c r="A11" s="501" t="s">
        <v>160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3"/>
    </row>
    <row r="12" spans="1:14" ht="16.5" thickBot="1" x14ac:dyDescent="0.3">
      <c r="A12" s="359"/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</row>
    <row r="13" spans="1:14" ht="15.75" thickBot="1" x14ac:dyDescent="0.3">
      <c r="A13" s="358" t="s">
        <v>159</v>
      </c>
      <c r="B13" s="357">
        <v>42005</v>
      </c>
      <c r="C13" s="356">
        <v>42036</v>
      </c>
      <c r="D13" s="356">
        <v>42064</v>
      </c>
      <c r="E13" s="356">
        <v>42095</v>
      </c>
      <c r="F13" s="356">
        <v>42125</v>
      </c>
      <c r="G13" s="356">
        <v>42156</v>
      </c>
      <c r="H13" s="356">
        <v>42186</v>
      </c>
      <c r="I13" s="356">
        <v>42217</v>
      </c>
      <c r="J13" s="356">
        <v>42248</v>
      </c>
      <c r="K13" s="356">
        <v>42278</v>
      </c>
      <c r="L13" s="356">
        <v>42309</v>
      </c>
      <c r="M13" s="355">
        <v>42339</v>
      </c>
      <c r="N13" s="354" t="s">
        <v>158</v>
      </c>
    </row>
    <row r="14" spans="1:14" ht="15.75" thickBot="1" x14ac:dyDescent="0.3">
      <c r="A14" s="353" t="s">
        <v>157</v>
      </c>
      <c r="B14" s="349">
        <v>0.57999999999999996</v>
      </c>
      <c r="C14" s="349">
        <v>1.91</v>
      </c>
      <c r="D14" s="349">
        <v>1.1200000000000001</v>
      </c>
      <c r="E14" s="349">
        <v>1.75</v>
      </c>
      <c r="F14" s="349">
        <v>0.77</v>
      </c>
      <c r="G14" s="349">
        <v>0.57999999999999996</v>
      </c>
      <c r="H14" s="349">
        <v>1.44</v>
      </c>
      <c r="I14" s="351">
        <v>-1.74</v>
      </c>
      <c r="J14" s="349">
        <v>0.46</v>
      </c>
      <c r="K14" s="349">
        <v>2.5299999999999998</v>
      </c>
      <c r="L14" s="349">
        <v>0.68</v>
      </c>
      <c r="M14" s="349">
        <v>1.42</v>
      </c>
      <c r="N14" s="348">
        <f>((PRODUCT(1+B14/100,1+C14/100,1+D14/100,1+E14/100,1+F14/100,1+G14/100,1+H14/100,1+I14/100,1+J14/100,1+K14/100,1+L14/100,1+M14/100))-1)*100</f>
        <v>12.05719477022873</v>
      </c>
    </row>
    <row r="15" spans="1:14" ht="15.75" thickBot="1" x14ac:dyDescent="0.3">
      <c r="A15" s="350" t="s">
        <v>156</v>
      </c>
      <c r="B15" s="349">
        <v>1.98</v>
      </c>
      <c r="C15" s="349">
        <v>1.66</v>
      </c>
      <c r="D15" s="349">
        <v>2.0099999999999998</v>
      </c>
      <c r="E15" s="349">
        <v>1.21</v>
      </c>
      <c r="F15" s="349">
        <v>1.24</v>
      </c>
      <c r="G15" s="349">
        <v>1.29</v>
      </c>
      <c r="H15" s="349">
        <v>1.08</v>
      </c>
      <c r="I15" s="349">
        <v>0.75</v>
      </c>
      <c r="J15" s="349">
        <v>1.01</v>
      </c>
      <c r="K15" s="349">
        <v>1.27</v>
      </c>
      <c r="L15" s="349">
        <v>1.61</v>
      </c>
      <c r="M15" s="349">
        <v>1.4</v>
      </c>
      <c r="N15" s="348">
        <f>((PRODUCT(1+B15/100,1+C15/100,1+D15/100,1+E15/100,1+F15/100,1+G15/100,1+H15/100,1+I15/100,1+J15/100,1+K15/100,1+L15/100,1+M15/100))-1)*100</f>
        <v>17.809379493600819</v>
      </c>
    </row>
    <row r="16" spans="1:14" ht="15.75" thickBot="1" x14ac:dyDescent="0.3">
      <c r="A16" s="350" t="s">
        <v>54</v>
      </c>
      <c r="B16" s="349">
        <v>0.93</v>
      </c>
      <c r="C16" s="349">
        <v>0.82</v>
      </c>
      <c r="D16" s="349">
        <v>1.04</v>
      </c>
      <c r="E16" s="349">
        <v>0.95</v>
      </c>
      <c r="F16" s="349">
        <v>0.98</v>
      </c>
      <c r="G16" s="349">
        <v>1.07</v>
      </c>
      <c r="H16" s="349">
        <v>1.18</v>
      </c>
      <c r="I16" s="349">
        <v>1.1100000000000001</v>
      </c>
      <c r="J16" s="349">
        <v>1.1100000000000001</v>
      </c>
      <c r="K16" s="349">
        <v>1.1100000000000001</v>
      </c>
      <c r="L16" s="349">
        <v>1.06</v>
      </c>
      <c r="M16" s="349">
        <v>1.1599999999999999</v>
      </c>
      <c r="N16" s="348">
        <f>((PRODUCT(1+B16/100,1+C16/100,1+D16/100,1+E16/100,1+F16/100,1+G16/100,1+H16/100,1+I16/100,1+J16/100,1+K16/100,1+L16/100,1+M16/100))-1)*100</f>
        <v>13.263344108432683</v>
      </c>
    </row>
    <row r="17" spans="1:14" ht="15.75" thickBot="1" x14ac:dyDescent="0.3">
      <c r="A17" s="347" t="s">
        <v>155</v>
      </c>
      <c r="B17" s="365">
        <f t="shared" ref="B17:N17" si="1">B14-B15</f>
        <v>-1.4</v>
      </c>
      <c r="C17" s="344">
        <f t="shared" si="1"/>
        <v>0.25</v>
      </c>
      <c r="D17" s="342">
        <f t="shared" si="1"/>
        <v>-0.88999999999999968</v>
      </c>
      <c r="E17" s="344">
        <f t="shared" si="1"/>
        <v>0.54</v>
      </c>
      <c r="F17" s="342">
        <f t="shared" si="1"/>
        <v>-0.47</v>
      </c>
      <c r="G17" s="342">
        <f t="shared" si="1"/>
        <v>-0.71000000000000008</v>
      </c>
      <c r="H17" s="344">
        <f t="shared" si="1"/>
        <v>0.35999999999999988</v>
      </c>
      <c r="I17" s="342">
        <f t="shared" si="1"/>
        <v>-2.4900000000000002</v>
      </c>
      <c r="J17" s="342">
        <f t="shared" si="1"/>
        <v>-0.55000000000000004</v>
      </c>
      <c r="K17" s="344">
        <f t="shared" si="1"/>
        <v>1.2599999999999998</v>
      </c>
      <c r="L17" s="342">
        <f t="shared" si="1"/>
        <v>-0.93</v>
      </c>
      <c r="M17" s="341">
        <f t="shared" si="1"/>
        <v>2.0000000000000018E-2</v>
      </c>
      <c r="N17" s="361">
        <f t="shared" si="1"/>
        <v>-5.7521847233720891</v>
      </c>
    </row>
    <row r="20" spans="1:14" ht="15.75" thickBot="1" x14ac:dyDescent="0.3"/>
    <row r="21" spans="1:14" ht="18" x14ac:dyDescent="0.25">
      <c r="A21" s="495" t="s">
        <v>164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7"/>
    </row>
    <row r="22" spans="1:14" ht="15.75" thickBot="1" x14ac:dyDescent="0.3">
      <c r="A22" s="498" t="s">
        <v>162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500"/>
    </row>
    <row r="23" spans="1:14" ht="15.75" thickBot="1" x14ac:dyDescent="0.3">
      <c r="A23" s="360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</row>
    <row r="24" spans="1:14" ht="15.75" thickBot="1" x14ac:dyDescent="0.3">
      <c r="A24" s="358" t="s">
        <v>159</v>
      </c>
      <c r="B24" s="364">
        <v>42370</v>
      </c>
      <c r="C24" s="364">
        <v>42401</v>
      </c>
      <c r="D24" s="364">
        <v>42430</v>
      </c>
      <c r="E24" s="364">
        <v>42461</v>
      </c>
      <c r="F24" s="364">
        <v>42491</v>
      </c>
      <c r="G24" s="364">
        <v>42522</v>
      </c>
      <c r="H24" s="364">
        <v>42552</v>
      </c>
      <c r="I24" s="364">
        <v>42583</v>
      </c>
      <c r="J24" s="364">
        <v>42614</v>
      </c>
      <c r="K24" s="364">
        <v>42644</v>
      </c>
      <c r="L24" s="364">
        <v>42675</v>
      </c>
      <c r="M24" s="364">
        <v>42705</v>
      </c>
      <c r="N24" s="354" t="s">
        <v>158</v>
      </c>
    </row>
    <row r="25" spans="1:14" ht="15.75" thickBot="1" x14ac:dyDescent="0.3">
      <c r="A25" s="353" t="s">
        <v>157</v>
      </c>
      <c r="B25" s="349">
        <v>2.0699999999999998</v>
      </c>
      <c r="C25" s="349">
        <v>1.79</v>
      </c>
      <c r="D25" s="349">
        <v>2.11</v>
      </c>
      <c r="E25" s="349">
        <v>2.2200000000000002</v>
      </c>
      <c r="F25" s="351">
        <v>-0.55000000000000004</v>
      </c>
      <c r="G25" s="349">
        <v>1.46</v>
      </c>
      <c r="H25" s="349">
        <v>2.3199999999999998</v>
      </c>
      <c r="I25" s="349">
        <v>1.03</v>
      </c>
      <c r="J25" s="349">
        <v>1.37</v>
      </c>
      <c r="K25" s="349">
        <v>1.28</v>
      </c>
      <c r="L25" s="349">
        <v>-0.59</v>
      </c>
      <c r="M25" s="349">
        <v>1.95</v>
      </c>
      <c r="N25" s="348">
        <f>((PRODUCT(1+B25/100,1+C25/100,1+D25/100,1+E25/100,1+F25/100,1+G25/100,1+H25/100,1+I25/100,1+J25/100,1+K25/100,1+L25/100,1+M25/100))-1)*100</f>
        <v>17.697802659843219</v>
      </c>
    </row>
    <row r="26" spans="1:14" ht="15.75" thickBot="1" x14ac:dyDescent="0.3">
      <c r="A26" s="350" t="s">
        <v>156</v>
      </c>
      <c r="B26" s="349">
        <v>2</v>
      </c>
      <c r="C26" s="349">
        <v>1.44</v>
      </c>
      <c r="D26" s="349">
        <v>0.93</v>
      </c>
      <c r="E26" s="349">
        <v>1.1299999999999999</v>
      </c>
      <c r="F26" s="349">
        <v>1.47</v>
      </c>
      <c r="G26" s="349">
        <v>0.97</v>
      </c>
      <c r="H26" s="349">
        <v>1.1399999999999999</v>
      </c>
      <c r="I26" s="349">
        <v>0.8</v>
      </c>
      <c r="J26" s="349">
        <v>0.56999999999999995</v>
      </c>
      <c r="K26" s="349">
        <v>0.66</v>
      </c>
      <c r="L26" s="349">
        <v>0.56000000000000005</v>
      </c>
      <c r="M26" s="349">
        <v>0.63</v>
      </c>
      <c r="N26" s="348">
        <f>((PRODUCT(1+B26/100,1+C26/100,1+D26/100,1+E26/100,1+F26/100,1+G26/100,1+H26/100,1+I26/100,1+J26/100,1+K26/100,1+L26/100,1+M26/100))-1)*100</f>
        <v>13.005948384445954</v>
      </c>
    </row>
    <row r="27" spans="1:14" ht="15.75" thickBot="1" x14ac:dyDescent="0.3">
      <c r="A27" s="350" t="s">
        <v>54</v>
      </c>
      <c r="B27" s="349">
        <v>1.05</v>
      </c>
      <c r="C27" s="349">
        <v>1</v>
      </c>
      <c r="D27" s="349">
        <v>1.1599999999999999</v>
      </c>
      <c r="E27" s="349">
        <v>1.05</v>
      </c>
      <c r="F27" s="349">
        <v>1.1100000000000001</v>
      </c>
      <c r="G27" s="349">
        <v>1.1599999999999999</v>
      </c>
      <c r="H27" s="349">
        <v>1.1100000000000001</v>
      </c>
      <c r="I27" s="349">
        <v>1.21</v>
      </c>
      <c r="J27" s="349">
        <v>1.1100000000000001</v>
      </c>
      <c r="K27" s="349">
        <v>1.05</v>
      </c>
      <c r="L27" s="349">
        <v>1.04</v>
      </c>
      <c r="M27" s="349">
        <v>1.1200000000000001</v>
      </c>
      <c r="N27" s="348">
        <f>((PRODUCT(1+B27/100,1+C27/100,1+D27/100,1+E27/100,1+F27/100,1+G27/100,1+H27/100,1+I27/100,1+J27/100,1+K27/100,1+L27/100,1+M27/100))-1)*100</f>
        <v>13.994559101556604</v>
      </c>
    </row>
    <row r="28" spans="1:14" ht="15.75" thickBot="1" x14ac:dyDescent="0.3">
      <c r="A28" s="363" t="s">
        <v>155</v>
      </c>
      <c r="B28" s="341">
        <f t="shared" ref="B28:N28" si="2">B25-B26</f>
        <v>6.999999999999984E-2</v>
      </c>
      <c r="C28" s="362">
        <f t="shared" si="2"/>
        <v>0.35000000000000009</v>
      </c>
      <c r="D28" s="361">
        <f t="shared" si="2"/>
        <v>1.1799999999999997</v>
      </c>
      <c r="E28" s="362">
        <f t="shared" si="2"/>
        <v>1.0900000000000003</v>
      </c>
      <c r="F28" s="361">
        <f t="shared" si="2"/>
        <v>-2.02</v>
      </c>
      <c r="G28" s="341">
        <f t="shared" si="2"/>
        <v>0.49</v>
      </c>
      <c r="H28" s="341">
        <f t="shared" si="2"/>
        <v>1.18</v>
      </c>
      <c r="I28" s="341">
        <f t="shared" si="2"/>
        <v>0.22999999999999998</v>
      </c>
      <c r="J28" s="341">
        <f t="shared" si="2"/>
        <v>0.80000000000000016</v>
      </c>
      <c r="K28" s="341">
        <f t="shared" si="2"/>
        <v>0.62</v>
      </c>
      <c r="L28" s="361">
        <f t="shared" si="2"/>
        <v>-1.1499999999999999</v>
      </c>
      <c r="M28" s="341">
        <f t="shared" si="2"/>
        <v>1.3199999999999998</v>
      </c>
      <c r="N28" s="340">
        <f t="shared" si="2"/>
        <v>4.6918542753972652</v>
      </c>
    </row>
    <row r="29" spans="1:14" ht="15.75" thickBot="1" x14ac:dyDescent="0.3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</row>
    <row r="30" spans="1:14" ht="18" x14ac:dyDescent="0.25">
      <c r="A30" s="495" t="s">
        <v>161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7"/>
    </row>
    <row r="31" spans="1:14" ht="15.75" thickBot="1" x14ac:dyDescent="0.3">
      <c r="A31" s="501" t="s">
        <v>160</v>
      </c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3"/>
    </row>
    <row r="32" spans="1:14" ht="16.5" thickBot="1" x14ac:dyDescent="0.3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4" ht="15.75" thickBot="1" x14ac:dyDescent="0.3">
      <c r="A33" s="358" t="s">
        <v>159</v>
      </c>
      <c r="B33" s="357">
        <v>42370</v>
      </c>
      <c r="C33" s="356">
        <v>42401</v>
      </c>
      <c r="D33" s="356">
        <v>42430</v>
      </c>
      <c r="E33" s="356">
        <v>42461</v>
      </c>
      <c r="F33" s="356">
        <v>42491</v>
      </c>
      <c r="G33" s="356">
        <v>42522</v>
      </c>
      <c r="H33" s="356">
        <v>42552</v>
      </c>
      <c r="I33" s="356">
        <v>42583</v>
      </c>
      <c r="J33" s="356">
        <v>42614</v>
      </c>
      <c r="K33" s="356">
        <v>42644</v>
      </c>
      <c r="L33" s="356">
        <v>42675</v>
      </c>
      <c r="M33" s="355">
        <v>42705</v>
      </c>
      <c r="N33" s="354" t="s">
        <v>158</v>
      </c>
    </row>
    <row r="34" spans="1:14" ht="15.75" thickBot="1" x14ac:dyDescent="0.3">
      <c r="A34" s="353" t="s">
        <v>157</v>
      </c>
      <c r="B34" s="349">
        <v>2.0699999999999998</v>
      </c>
      <c r="C34" s="349">
        <v>1.79</v>
      </c>
      <c r="D34" s="349">
        <v>2.11</v>
      </c>
      <c r="E34" s="349">
        <v>2.2200000000000002</v>
      </c>
      <c r="F34" s="351">
        <v>-0.55000000000000004</v>
      </c>
      <c r="G34" s="349">
        <v>1.46</v>
      </c>
      <c r="H34" s="349">
        <v>2.3199999999999998</v>
      </c>
      <c r="I34" s="349">
        <v>1.03</v>
      </c>
      <c r="J34" s="349">
        <v>1.37</v>
      </c>
      <c r="K34" s="349">
        <v>1.28</v>
      </c>
      <c r="L34" s="349">
        <v>-0.59</v>
      </c>
      <c r="M34" s="349">
        <v>1.95</v>
      </c>
      <c r="N34" s="348">
        <f>((PRODUCT(1+B34/100,1+C34/100,1+D34/100,1+E34/100,1+F34/100,1+G34/100,1+H34/100,1+I34/100,1+J34/100,1+K34/100,1+L34/100,1+M34/100))-1)*100</f>
        <v>17.697802659843219</v>
      </c>
    </row>
    <row r="35" spans="1:14" ht="15.75" thickBot="1" x14ac:dyDescent="0.3">
      <c r="A35" s="350" t="s">
        <v>156</v>
      </c>
      <c r="B35" s="349">
        <v>2</v>
      </c>
      <c r="C35" s="349">
        <v>1.44</v>
      </c>
      <c r="D35" s="349">
        <v>0.93</v>
      </c>
      <c r="E35" s="349">
        <v>1.1299999999999999</v>
      </c>
      <c r="F35" s="349">
        <v>1.47</v>
      </c>
      <c r="G35" s="349">
        <v>0.97</v>
      </c>
      <c r="H35" s="349">
        <v>1.1399999999999999</v>
      </c>
      <c r="I35" s="349">
        <v>0.8</v>
      </c>
      <c r="J35" s="349">
        <v>0.56999999999999995</v>
      </c>
      <c r="K35" s="349">
        <v>0.66</v>
      </c>
      <c r="L35" s="349">
        <v>0.56000000000000005</v>
      </c>
      <c r="M35" s="349">
        <v>0.63</v>
      </c>
      <c r="N35" s="348">
        <f>((PRODUCT(1+B35/100,1+C35/100,1+D35/100,1+E35/100,1+F35/100,1+G35/100,1+H35/100,1+I35/100,1+J35/100,1+K35/100,1+L35/100,1+M35/100))-1)*100</f>
        <v>13.005948384445954</v>
      </c>
    </row>
    <row r="36" spans="1:14" ht="15.75" thickBot="1" x14ac:dyDescent="0.3">
      <c r="A36" s="350" t="s">
        <v>54</v>
      </c>
      <c r="B36" s="349">
        <v>1.05</v>
      </c>
      <c r="C36" s="349">
        <v>1</v>
      </c>
      <c r="D36" s="349">
        <v>1.1599999999999999</v>
      </c>
      <c r="E36" s="349">
        <v>1.05</v>
      </c>
      <c r="F36" s="349">
        <v>1.1100000000000001</v>
      </c>
      <c r="G36" s="349">
        <v>1.1599999999999999</v>
      </c>
      <c r="H36" s="349">
        <v>1.1100000000000001</v>
      </c>
      <c r="I36" s="349">
        <v>1.21</v>
      </c>
      <c r="J36" s="349">
        <v>1.1100000000000001</v>
      </c>
      <c r="K36" s="349">
        <v>1.05</v>
      </c>
      <c r="L36" s="349">
        <v>1.04</v>
      </c>
      <c r="M36" s="349">
        <v>1.1200000000000001</v>
      </c>
      <c r="N36" s="348">
        <f>((PRODUCT(1+B36/100,1+C36/100,1+D36/100,1+E36/100,1+F36/100,1+G36/100,1+H36/100,1+I36/100,1+J36/100,1+K36/100,1+L36/100,1+M36/100))-1)*100</f>
        <v>13.994559101556604</v>
      </c>
    </row>
    <row r="37" spans="1:14" ht="15.75" thickBot="1" x14ac:dyDescent="0.3">
      <c r="A37" s="347" t="s">
        <v>155</v>
      </c>
      <c r="B37" s="346">
        <f t="shared" ref="B37:N37" si="3">B34-B35</f>
        <v>6.999999999999984E-2</v>
      </c>
      <c r="C37" s="344">
        <f t="shared" si="3"/>
        <v>0.35000000000000009</v>
      </c>
      <c r="D37" s="345">
        <f t="shared" si="3"/>
        <v>1.1799999999999997</v>
      </c>
      <c r="E37" s="344">
        <f t="shared" si="3"/>
        <v>1.0900000000000003</v>
      </c>
      <c r="F37" s="342">
        <f t="shared" si="3"/>
        <v>-2.02</v>
      </c>
      <c r="G37" s="343">
        <f t="shared" si="3"/>
        <v>0.49</v>
      </c>
      <c r="H37" s="343">
        <f t="shared" si="3"/>
        <v>1.18</v>
      </c>
      <c r="I37" s="343">
        <f t="shared" si="3"/>
        <v>0.22999999999999998</v>
      </c>
      <c r="J37" s="343">
        <f t="shared" si="3"/>
        <v>0.80000000000000016</v>
      </c>
      <c r="K37" s="343">
        <f t="shared" si="3"/>
        <v>0.62</v>
      </c>
      <c r="L37" s="342">
        <f t="shared" si="3"/>
        <v>-1.1499999999999999</v>
      </c>
      <c r="M37" s="341">
        <f t="shared" si="3"/>
        <v>1.3199999999999998</v>
      </c>
      <c r="N37" s="340">
        <f t="shared" si="3"/>
        <v>4.6918542753972652</v>
      </c>
    </row>
    <row r="40" spans="1:14" ht="15.75" thickBot="1" x14ac:dyDescent="0.3"/>
    <row r="41" spans="1:14" ht="18" x14ac:dyDescent="0.25">
      <c r="A41" s="495" t="s">
        <v>163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7"/>
    </row>
    <row r="42" spans="1:14" ht="15.75" thickBot="1" x14ac:dyDescent="0.3">
      <c r="A42" s="498" t="s">
        <v>162</v>
      </c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500"/>
    </row>
    <row r="43" spans="1:14" ht="15.75" thickBot="1" x14ac:dyDescent="0.3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</row>
    <row r="44" spans="1:14" ht="15.75" thickBot="1" x14ac:dyDescent="0.3">
      <c r="A44" s="358" t="s">
        <v>159</v>
      </c>
      <c r="B44" s="364">
        <v>42736</v>
      </c>
      <c r="C44" s="364">
        <v>42767</v>
      </c>
      <c r="D44" s="364">
        <v>42795</v>
      </c>
      <c r="E44" s="364">
        <v>42826</v>
      </c>
      <c r="F44" s="364">
        <v>42856</v>
      </c>
      <c r="G44" s="364">
        <v>42887</v>
      </c>
      <c r="H44" s="364">
        <v>42917</v>
      </c>
      <c r="I44" s="364">
        <v>42948</v>
      </c>
      <c r="J44" s="364">
        <v>42979</v>
      </c>
      <c r="K44" s="364">
        <v>43009</v>
      </c>
      <c r="L44" s="364">
        <v>43040</v>
      </c>
      <c r="M44" s="364">
        <v>43070</v>
      </c>
      <c r="N44" s="354" t="s">
        <v>158</v>
      </c>
    </row>
    <row r="45" spans="1:14" ht="15.75" thickBot="1" x14ac:dyDescent="0.3">
      <c r="A45" s="353" t="s">
        <v>157</v>
      </c>
      <c r="B45" s="349">
        <v>1.9</v>
      </c>
      <c r="C45" s="349">
        <v>2.2400000000000002</v>
      </c>
      <c r="D45" s="349">
        <v>1.04</v>
      </c>
      <c r="E45" s="352">
        <v>0.28000000000000003</v>
      </c>
      <c r="F45" s="351">
        <v>-0.43</v>
      </c>
      <c r="G45" s="349">
        <v>0.65</v>
      </c>
      <c r="H45" s="349">
        <v>3.1</v>
      </c>
      <c r="I45" s="349">
        <v>1.46</v>
      </c>
      <c r="J45" s="349">
        <v>1.51</v>
      </c>
      <c r="K45" s="349">
        <v>0.02</v>
      </c>
      <c r="L45" s="351">
        <v>-0.28000000000000003</v>
      </c>
      <c r="M45" s="349">
        <v>1.21</v>
      </c>
      <c r="N45" s="348">
        <f>((PRODUCT(1+B45/100,1+C45/100,1+D45/100,1+E45/100,1+F45/100,1+G45/100,1+H45/100,1+I45/100,1+J45/100,1+K45/100,1+L45/100,1+M45/100))-1)*100</f>
        <v>13.396557377728445</v>
      </c>
    </row>
    <row r="46" spans="1:14" ht="15.75" thickBot="1" x14ac:dyDescent="0.3">
      <c r="A46" s="350" t="s">
        <v>156</v>
      </c>
      <c r="B46" s="349">
        <v>0.93</v>
      </c>
      <c r="C46" s="349">
        <v>0.66</v>
      </c>
      <c r="D46" s="349">
        <v>0.85</v>
      </c>
      <c r="E46" s="349">
        <v>0.5</v>
      </c>
      <c r="F46" s="349">
        <v>0.87</v>
      </c>
      <c r="G46" s="349">
        <v>0.19</v>
      </c>
      <c r="H46" s="349">
        <v>0.66</v>
      </c>
      <c r="I46" s="349">
        <v>0.5</v>
      </c>
      <c r="J46" s="349">
        <v>0.44</v>
      </c>
      <c r="K46" s="349">
        <v>0.86</v>
      </c>
      <c r="L46" s="349">
        <v>0.64</v>
      </c>
      <c r="M46" s="349">
        <v>0.75</v>
      </c>
      <c r="N46" s="348">
        <f>((PRODUCT(1+B46/100,1+C46/100,1+D46/100,1+E46/100,1+F46/100,1+G46/100,1+H46/100,1+I46/100,1+J46/100,1+K46/100,1+L46/100,1+M46/100))-1)*100</f>
        <v>8.1359001202240258</v>
      </c>
    </row>
    <row r="47" spans="1:14" ht="15.75" thickBot="1" x14ac:dyDescent="0.3">
      <c r="A47" s="350" t="s">
        <v>54</v>
      </c>
      <c r="B47" s="349">
        <v>1.08</v>
      </c>
      <c r="C47" s="349">
        <v>0.86</v>
      </c>
      <c r="D47" s="349">
        <v>1.05</v>
      </c>
      <c r="E47" s="349">
        <v>0.79</v>
      </c>
      <c r="F47" s="349">
        <v>0.93</v>
      </c>
      <c r="G47" s="349">
        <v>0.81</v>
      </c>
      <c r="H47" s="349">
        <v>0.81</v>
      </c>
      <c r="I47" s="349">
        <v>0.8</v>
      </c>
      <c r="J47" s="349">
        <v>0.64</v>
      </c>
      <c r="K47" s="349">
        <v>0.64</v>
      </c>
      <c r="L47" s="349">
        <v>0.56999999999999995</v>
      </c>
      <c r="M47" s="349">
        <v>0.54</v>
      </c>
      <c r="N47" s="348">
        <f>((PRODUCT(1+B47/100,1+C47/100,1+D47/100,1+E47/100,1+F47/100,1+G47/100,1+H47/100,1+I47/100,1+J47/100,1+K47/100,1+L47/100,1+M47/100))-1)*100</f>
        <v>9.9447717995015275</v>
      </c>
    </row>
    <row r="48" spans="1:14" ht="15.75" thickBot="1" x14ac:dyDescent="0.3">
      <c r="A48" s="363" t="s">
        <v>155</v>
      </c>
      <c r="B48" s="341">
        <f t="shared" ref="B48:N48" si="4">B45-B46</f>
        <v>0.96999999999999986</v>
      </c>
      <c r="C48" s="362">
        <f t="shared" si="4"/>
        <v>1.58</v>
      </c>
      <c r="D48" s="361">
        <f t="shared" si="4"/>
        <v>0.19000000000000006</v>
      </c>
      <c r="E48" s="362">
        <f t="shared" si="4"/>
        <v>-0.21999999999999997</v>
      </c>
      <c r="F48" s="361">
        <f t="shared" si="4"/>
        <v>-1.3</v>
      </c>
      <c r="G48" s="341">
        <f t="shared" si="4"/>
        <v>0.46</v>
      </c>
      <c r="H48" s="341">
        <f t="shared" si="4"/>
        <v>2.44</v>
      </c>
      <c r="I48" s="341">
        <f t="shared" si="4"/>
        <v>0.96</v>
      </c>
      <c r="J48" s="341">
        <f t="shared" si="4"/>
        <v>1.07</v>
      </c>
      <c r="K48" s="341">
        <f t="shared" si="4"/>
        <v>-0.84</v>
      </c>
      <c r="L48" s="361">
        <f t="shared" si="4"/>
        <v>-0.92</v>
      </c>
      <c r="M48" s="341">
        <f t="shared" si="4"/>
        <v>0.45999999999999996</v>
      </c>
      <c r="N48" s="340">
        <f t="shared" si="4"/>
        <v>5.2606572575044197</v>
      </c>
    </row>
    <row r="49" spans="1:14" ht="15.75" thickBot="1" x14ac:dyDescent="0.3">
      <c r="A49" s="360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</row>
    <row r="50" spans="1:14" ht="18" x14ac:dyDescent="0.25">
      <c r="A50" s="495" t="s">
        <v>161</v>
      </c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7"/>
    </row>
    <row r="51" spans="1:14" ht="15.75" thickBot="1" x14ac:dyDescent="0.3">
      <c r="A51" s="501" t="s">
        <v>160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3"/>
    </row>
    <row r="52" spans="1:14" ht="16.5" thickBot="1" x14ac:dyDescent="0.3">
      <c r="A52" s="359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</row>
    <row r="53" spans="1:14" ht="15.75" thickBot="1" x14ac:dyDescent="0.3">
      <c r="A53" s="358" t="s">
        <v>159</v>
      </c>
      <c r="B53" s="357">
        <v>42736</v>
      </c>
      <c r="C53" s="356">
        <v>42767</v>
      </c>
      <c r="D53" s="356">
        <v>42795</v>
      </c>
      <c r="E53" s="356">
        <v>42826</v>
      </c>
      <c r="F53" s="356">
        <v>42856</v>
      </c>
      <c r="G53" s="356">
        <v>42887</v>
      </c>
      <c r="H53" s="356">
        <v>42917</v>
      </c>
      <c r="I53" s="356">
        <v>42948</v>
      </c>
      <c r="J53" s="356">
        <v>42979</v>
      </c>
      <c r="K53" s="356">
        <v>43009</v>
      </c>
      <c r="L53" s="356">
        <v>43040</v>
      </c>
      <c r="M53" s="355">
        <v>43070</v>
      </c>
      <c r="N53" s="354" t="s">
        <v>158</v>
      </c>
    </row>
    <row r="54" spans="1:14" ht="15.75" thickBot="1" x14ac:dyDescent="0.3">
      <c r="A54" s="353" t="s">
        <v>157</v>
      </c>
      <c r="B54" s="349">
        <v>1.9</v>
      </c>
      <c r="C54" s="349">
        <v>2.2400000000000002</v>
      </c>
      <c r="D54" s="349">
        <v>1.04</v>
      </c>
      <c r="E54" s="352">
        <v>0.28000000000000003</v>
      </c>
      <c r="F54" s="351">
        <v>-0.43</v>
      </c>
      <c r="G54" s="349">
        <v>0.65</v>
      </c>
      <c r="H54" s="349">
        <v>3.1</v>
      </c>
      <c r="I54" s="349">
        <v>1.46</v>
      </c>
      <c r="J54" s="349">
        <v>1.51</v>
      </c>
      <c r="K54" s="349">
        <v>0.02</v>
      </c>
      <c r="L54" s="351">
        <v>-0.28000000000000003</v>
      </c>
      <c r="M54" s="349">
        <v>1.21</v>
      </c>
      <c r="N54" s="348">
        <f>((PRODUCT(1+B54/100,1+C54/100,1+D54/100,1+E54/100,1+F54/100,1+G54/100,1+H54/100,1+I54/100,1+J54/100,1+K54/100,1+L54/100,1+M54/100))-1)*100</f>
        <v>13.396557377728445</v>
      </c>
    </row>
    <row r="55" spans="1:14" ht="15.75" thickBot="1" x14ac:dyDescent="0.3">
      <c r="A55" s="350" t="s">
        <v>156</v>
      </c>
      <c r="B55" s="349">
        <v>0.93</v>
      </c>
      <c r="C55" s="349">
        <v>0.66</v>
      </c>
      <c r="D55" s="349">
        <v>0.85</v>
      </c>
      <c r="E55" s="349">
        <v>0.5</v>
      </c>
      <c r="F55" s="349">
        <v>0.87</v>
      </c>
      <c r="G55" s="349">
        <v>0.19</v>
      </c>
      <c r="H55" s="349">
        <v>0.66</v>
      </c>
      <c r="I55" s="349">
        <v>0.5</v>
      </c>
      <c r="J55" s="349">
        <v>0.44</v>
      </c>
      <c r="K55" s="349">
        <v>0.86</v>
      </c>
      <c r="L55" s="349">
        <v>0.64</v>
      </c>
      <c r="M55" s="349">
        <v>0.75</v>
      </c>
      <c r="N55" s="348">
        <f>((PRODUCT(1+B55/100,1+C55/100,1+D55/100,1+E55/100,1+F55/100,1+G55/100,1+H55/100,1+I55/100,1+J55/100,1+K55/100,1+L55/100,1+M55/100))-1)*100</f>
        <v>8.1359001202240258</v>
      </c>
    </row>
    <row r="56" spans="1:14" ht="15.75" thickBot="1" x14ac:dyDescent="0.3">
      <c r="A56" s="350" t="s">
        <v>54</v>
      </c>
      <c r="B56" s="349">
        <v>1.08</v>
      </c>
      <c r="C56" s="349">
        <v>0.86</v>
      </c>
      <c r="D56" s="349">
        <v>1.05</v>
      </c>
      <c r="E56" s="349">
        <v>0.79</v>
      </c>
      <c r="F56" s="349">
        <v>0.93</v>
      </c>
      <c r="G56" s="349">
        <v>0.81</v>
      </c>
      <c r="H56" s="349">
        <v>0.81</v>
      </c>
      <c r="I56" s="349">
        <v>0.8</v>
      </c>
      <c r="J56" s="349">
        <v>0.64</v>
      </c>
      <c r="K56" s="349">
        <v>0.64</v>
      </c>
      <c r="L56" s="349">
        <v>0.56999999999999995</v>
      </c>
      <c r="M56" s="349">
        <v>0.54</v>
      </c>
      <c r="N56" s="348">
        <f>((PRODUCT(1+B56/100,1+C56/100,1+D56/100,1+E56/100,1+F56/100,1+G56/100,1+H56/100,1+I56/100,1+J56/100,1+K56/100,1+L56/100,1+M56/100))-1)*100</f>
        <v>9.9447717995015275</v>
      </c>
    </row>
    <row r="57" spans="1:14" ht="15.75" thickBot="1" x14ac:dyDescent="0.3">
      <c r="A57" s="347" t="s">
        <v>155</v>
      </c>
      <c r="B57" s="346">
        <f t="shared" ref="B57:N57" si="5">B54-B55</f>
        <v>0.96999999999999986</v>
      </c>
      <c r="C57" s="344">
        <f t="shared" si="5"/>
        <v>1.58</v>
      </c>
      <c r="D57" s="345">
        <f t="shared" si="5"/>
        <v>0.19000000000000006</v>
      </c>
      <c r="E57" s="344">
        <f t="shared" si="5"/>
        <v>-0.21999999999999997</v>
      </c>
      <c r="F57" s="342">
        <f t="shared" si="5"/>
        <v>-1.3</v>
      </c>
      <c r="G57" s="343">
        <f t="shared" si="5"/>
        <v>0.46</v>
      </c>
      <c r="H57" s="343">
        <f t="shared" si="5"/>
        <v>2.44</v>
      </c>
      <c r="I57" s="343">
        <f t="shared" si="5"/>
        <v>0.96</v>
      </c>
      <c r="J57" s="343">
        <f t="shared" si="5"/>
        <v>1.07</v>
      </c>
      <c r="K57" s="343">
        <f t="shared" si="5"/>
        <v>-0.84</v>
      </c>
      <c r="L57" s="342">
        <f t="shared" si="5"/>
        <v>-0.92</v>
      </c>
      <c r="M57" s="341">
        <f t="shared" si="5"/>
        <v>0.45999999999999996</v>
      </c>
      <c r="N57" s="340">
        <f t="shared" si="5"/>
        <v>5.2606572575044197</v>
      </c>
    </row>
    <row r="60" spans="1:14" ht="15.75" thickBot="1" x14ac:dyDescent="0.3"/>
    <row r="61" spans="1:14" ht="18" x14ac:dyDescent="0.25">
      <c r="A61" s="495" t="s">
        <v>166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7"/>
    </row>
    <row r="62" spans="1:14" ht="15.75" thickBot="1" x14ac:dyDescent="0.3">
      <c r="A62" s="498" t="s">
        <v>162</v>
      </c>
      <c r="B62" s="499"/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500"/>
    </row>
    <row r="63" spans="1:14" ht="15.75" thickBot="1" x14ac:dyDescent="0.3">
      <c r="A63" s="360"/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</row>
    <row r="64" spans="1:14" ht="15.75" thickBot="1" x14ac:dyDescent="0.3">
      <c r="A64" s="358" t="s">
        <v>159</v>
      </c>
      <c r="B64" s="364">
        <v>43101</v>
      </c>
      <c r="C64" s="364">
        <v>43132</v>
      </c>
      <c r="D64" s="364">
        <v>43160</v>
      </c>
      <c r="E64" s="364">
        <v>43191</v>
      </c>
      <c r="F64" s="364">
        <v>43221</v>
      </c>
      <c r="G64" s="364">
        <v>43252</v>
      </c>
      <c r="H64" s="364">
        <v>43282</v>
      </c>
      <c r="I64" s="364">
        <v>43313</v>
      </c>
      <c r="J64" s="364">
        <v>43344</v>
      </c>
      <c r="K64" s="364">
        <v>43374</v>
      </c>
      <c r="L64" s="364">
        <v>43405</v>
      </c>
      <c r="M64" s="364">
        <v>43435</v>
      </c>
      <c r="N64" s="354" t="s">
        <v>158</v>
      </c>
    </row>
    <row r="65" spans="1:14" ht="15.75" thickBot="1" x14ac:dyDescent="0.3">
      <c r="A65" s="353" t="s">
        <v>157</v>
      </c>
      <c r="B65" s="349">
        <v>2.33</v>
      </c>
      <c r="C65" s="349">
        <v>0.65</v>
      </c>
      <c r="D65" s="349">
        <v>1.31</v>
      </c>
      <c r="E65" s="349">
        <v>0.34</v>
      </c>
      <c r="F65" s="351">
        <v>-2.25</v>
      </c>
      <c r="G65" s="349">
        <v>0.02</v>
      </c>
      <c r="H65" s="349">
        <v>1.82</v>
      </c>
      <c r="I65" s="349"/>
      <c r="J65" s="349"/>
      <c r="K65" s="349"/>
      <c r="L65" s="351"/>
      <c r="M65" s="349"/>
      <c r="N65" s="348">
        <f>((PRODUCT(1+B65/100,1+C65/100,1+D65/100,1+E65/100,1+F65/100,1+G65/100,1+H65/100,1+I65/100,1+J65/100,1+K65/100,1+L65/100,1+M65/100))-1)*100</f>
        <v>4.2269128528467981</v>
      </c>
    </row>
    <row r="66" spans="1:14" ht="15.75" thickBot="1" x14ac:dyDescent="0.3">
      <c r="A66" s="350" t="s">
        <v>156</v>
      </c>
      <c r="B66" s="349">
        <v>0.74</v>
      </c>
      <c r="C66" s="349">
        <v>0.6</v>
      </c>
      <c r="D66" s="349">
        <v>0.56000000000000005</v>
      </c>
      <c r="E66" s="349">
        <v>0.7</v>
      </c>
      <c r="F66" s="349">
        <v>0.92</v>
      </c>
      <c r="G66" s="349">
        <v>1.92</v>
      </c>
      <c r="H66" s="349">
        <v>0.76</v>
      </c>
      <c r="I66" s="349"/>
      <c r="J66" s="349"/>
      <c r="K66" s="349"/>
      <c r="L66" s="349"/>
      <c r="M66" s="349"/>
      <c r="N66" s="348">
        <f>((PRODUCT(1+B66/100,1+C66/100,1+D66/100,1+E66/100,1+F66/100,1+G66/100,1+H66/100,1+I66/100,1+J66/100,1+K66/100,1+L66/100,1+M66/100))-1)*100</f>
        <v>6.3602815105536781</v>
      </c>
    </row>
    <row r="67" spans="1:14" ht="15.75" thickBot="1" x14ac:dyDescent="0.3">
      <c r="A67" s="350" t="s">
        <v>54</v>
      </c>
      <c r="B67" s="349">
        <v>0.57999999999999996</v>
      </c>
      <c r="C67" s="349">
        <v>0.46</v>
      </c>
      <c r="D67" s="349">
        <v>0.53</v>
      </c>
      <c r="E67" s="349">
        <v>0.52</v>
      </c>
      <c r="F67" s="349">
        <v>0.52</v>
      </c>
      <c r="G67" s="349">
        <v>0.52</v>
      </c>
      <c r="H67" s="349">
        <v>0.54</v>
      </c>
      <c r="I67" s="349"/>
      <c r="J67" s="349"/>
      <c r="K67" s="349"/>
      <c r="L67" s="349"/>
      <c r="M67" s="349"/>
      <c r="N67" s="348">
        <f>((PRODUCT(1+B67/100,1+C67/100,1+D67/100,1+E67/100,1+F67/100,1+G67/100,1+H67/100,1+I67/100,1+J67/100,1+K67/100,1+L67/100,1+M67/100))-1)*100</f>
        <v>3.7281920434895977</v>
      </c>
    </row>
    <row r="68" spans="1:14" ht="15.75" thickBot="1" x14ac:dyDescent="0.3">
      <c r="A68" s="363" t="s">
        <v>155</v>
      </c>
      <c r="B68" s="341">
        <f t="shared" ref="B68:N68" si="6">B65-B66</f>
        <v>1.59</v>
      </c>
      <c r="C68" s="362">
        <f t="shared" si="6"/>
        <v>5.0000000000000044E-2</v>
      </c>
      <c r="D68" s="361">
        <f t="shared" si="6"/>
        <v>0.75</v>
      </c>
      <c r="E68" s="361">
        <f t="shared" si="6"/>
        <v>-0.35999999999999993</v>
      </c>
      <c r="F68" s="361">
        <f t="shared" si="6"/>
        <v>-3.17</v>
      </c>
      <c r="G68" s="361">
        <f t="shared" si="6"/>
        <v>-1.9</v>
      </c>
      <c r="H68" s="341">
        <f t="shared" si="6"/>
        <v>1.06</v>
      </c>
      <c r="I68" s="341">
        <f t="shared" si="6"/>
        <v>0</v>
      </c>
      <c r="J68" s="341">
        <f t="shared" si="6"/>
        <v>0</v>
      </c>
      <c r="K68" s="341">
        <f t="shared" si="6"/>
        <v>0</v>
      </c>
      <c r="L68" s="361">
        <f t="shared" si="6"/>
        <v>0</v>
      </c>
      <c r="M68" s="341">
        <f t="shared" si="6"/>
        <v>0</v>
      </c>
      <c r="N68" s="340">
        <f t="shared" si="6"/>
        <v>-2.13336865770688</v>
      </c>
    </row>
    <row r="69" spans="1:14" ht="15.75" thickBot="1" x14ac:dyDescent="0.3">
      <c r="A69" s="360"/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</row>
    <row r="70" spans="1:14" ht="18" x14ac:dyDescent="0.25">
      <c r="A70" s="495" t="s">
        <v>161</v>
      </c>
      <c r="B70" s="496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7"/>
    </row>
    <row r="71" spans="1:14" ht="15.75" thickBot="1" x14ac:dyDescent="0.3">
      <c r="A71" s="501" t="s">
        <v>160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3"/>
    </row>
    <row r="72" spans="1:14" ht="16.5" thickBot="1" x14ac:dyDescent="0.3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</row>
    <row r="73" spans="1:14" ht="15.75" thickBot="1" x14ac:dyDescent="0.3">
      <c r="A73" s="358" t="s">
        <v>159</v>
      </c>
      <c r="B73" s="364">
        <v>43101</v>
      </c>
      <c r="C73" s="356">
        <v>43132</v>
      </c>
      <c r="D73" s="356">
        <v>43160</v>
      </c>
      <c r="E73" s="356">
        <v>43191</v>
      </c>
      <c r="F73" s="356">
        <v>43221</v>
      </c>
      <c r="G73" s="356">
        <v>43252</v>
      </c>
      <c r="H73" s="356">
        <v>43282</v>
      </c>
      <c r="I73" s="356">
        <v>42948</v>
      </c>
      <c r="J73" s="356">
        <v>42979</v>
      </c>
      <c r="K73" s="356">
        <v>43009</v>
      </c>
      <c r="L73" s="356">
        <v>43040</v>
      </c>
      <c r="M73" s="355">
        <v>43070</v>
      </c>
      <c r="N73" s="354" t="s">
        <v>158</v>
      </c>
    </row>
    <row r="74" spans="1:14" ht="15.75" thickBot="1" x14ac:dyDescent="0.3">
      <c r="A74" s="353" t="s">
        <v>157</v>
      </c>
      <c r="B74" s="349">
        <v>2.33</v>
      </c>
      <c r="C74" s="349">
        <v>0.65</v>
      </c>
      <c r="D74" s="349">
        <v>1.31</v>
      </c>
      <c r="E74" s="349">
        <v>0.34</v>
      </c>
      <c r="F74" s="351">
        <v>-2.25</v>
      </c>
      <c r="G74" s="349">
        <v>0.02</v>
      </c>
      <c r="H74" s="349">
        <v>1.82</v>
      </c>
      <c r="I74" s="349">
        <v>1.46</v>
      </c>
      <c r="J74" s="349">
        <v>1.51</v>
      </c>
      <c r="K74" s="349">
        <v>0.02</v>
      </c>
      <c r="L74" s="351">
        <v>-0.28000000000000003</v>
      </c>
      <c r="M74" s="349">
        <v>1.21</v>
      </c>
      <c r="N74" s="348">
        <f>((PRODUCT(1+B74/100,1+C74/100,1+D74/100,1+E74/100,1+F74/100,1+G74/100,1+H74/100,1+I74/100,1+J74/100,1+K74/100,1+L74/100,1+M74/100))-1)*100</f>
        <v>8.3617736870246429</v>
      </c>
    </row>
    <row r="75" spans="1:14" ht="15.75" thickBot="1" x14ac:dyDescent="0.3">
      <c r="A75" s="350" t="s">
        <v>156</v>
      </c>
      <c r="B75" s="349">
        <v>0.74</v>
      </c>
      <c r="C75" s="349">
        <v>0.6</v>
      </c>
      <c r="D75" s="349">
        <v>0.56000000000000005</v>
      </c>
      <c r="E75" s="349">
        <v>0.7</v>
      </c>
      <c r="F75" s="349">
        <v>0.92</v>
      </c>
      <c r="G75" s="349">
        <v>1.92</v>
      </c>
      <c r="H75" s="349">
        <v>0.76</v>
      </c>
      <c r="I75" s="349">
        <v>0.5</v>
      </c>
      <c r="J75" s="349">
        <v>0.44</v>
      </c>
      <c r="K75" s="349">
        <v>0.86</v>
      </c>
      <c r="L75" s="349">
        <v>0.64</v>
      </c>
      <c r="M75" s="349">
        <v>0.75</v>
      </c>
      <c r="N75" s="348">
        <f>((PRODUCT(1+B75/100,1+C75/100,1+D75/100,1+E75/100,1+F75/100,1+G75/100,1+H75/100,1+I75/100,1+J75/100,1+K75/100,1+L75/100,1+M75/100))-1)*100</f>
        <v>9.7960940818646591</v>
      </c>
    </row>
    <row r="76" spans="1:14" ht="15.75" thickBot="1" x14ac:dyDescent="0.3">
      <c r="A76" s="350" t="s">
        <v>54</v>
      </c>
      <c r="B76" s="349">
        <v>0.57999999999999996</v>
      </c>
      <c r="C76" s="349">
        <v>0.46</v>
      </c>
      <c r="D76" s="349">
        <v>0.53</v>
      </c>
      <c r="E76" s="349">
        <v>0.52</v>
      </c>
      <c r="F76" s="349">
        <v>0.52</v>
      </c>
      <c r="G76" s="349">
        <v>0.52</v>
      </c>
      <c r="H76" s="349">
        <v>0.54</v>
      </c>
      <c r="I76" s="349">
        <v>0.8</v>
      </c>
      <c r="J76" s="349">
        <v>0.64</v>
      </c>
      <c r="K76" s="349">
        <v>0.64</v>
      </c>
      <c r="L76" s="349">
        <v>0.56999999999999995</v>
      </c>
      <c r="M76" s="349">
        <v>0.54</v>
      </c>
      <c r="N76" s="348">
        <f>((PRODUCT(1+B76/100,1+C76/100,1+D76/100,1+E76/100,1+F76/100,1+G76/100,1+H76/100,1+I76/100,1+J76/100,1+K76/100,1+L76/100,1+M76/100))-1)*100</f>
        <v>7.0793996592519948</v>
      </c>
    </row>
    <row r="77" spans="1:14" ht="15.75" thickBot="1" x14ac:dyDescent="0.3">
      <c r="A77" s="347" t="s">
        <v>155</v>
      </c>
      <c r="B77" s="346">
        <f t="shared" ref="B77:N77" si="7">B74-B75</f>
        <v>1.59</v>
      </c>
      <c r="C77" s="344">
        <f t="shared" si="7"/>
        <v>5.0000000000000044E-2</v>
      </c>
      <c r="D77" s="345">
        <f t="shared" si="7"/>
        <v>0.75</v>
      </c>
      <c r="E77" s="342">
        <f t="shared" si="7"/>
        <v>-0.35999999999999993</v>
      </c>
      <c r="F77" s="342">
        <f t="shared" si="7"/>
        <v>-3.17</v>
      </c>
      <c r="G77" s="346">
        <f t="shared" si="7"/>
        <v>-1.9</v>
      </c>
      <c r="H77" s="343">
        <f t="shared" si="7"/>
        <v>1.06</v>
      </c>
      <c r="I77" s="343">
        <f t="shared" si="7"/>
        <v>0.96</v>
      </c>
      <c r="J77" s="343">
        <f t="shared" si="7"/>
        <v>1.07</v>
      </c>
      <c r="K77" s="343">
        <f t="shared" si="7"/>
        <v>-0.84</v>
      </c>
      <c r="L77" s="342">
        <f t="shared" si="7"/>
        <v>-0.92</v>
      </c>
      <c r="M77" s="341">
        <f t="shared" si="7"/>
        <v>0.45999999999999996</v>
      </c>
      <c r="N77" s="340">
        <f t="shared" si="7"/>
        <v>-1.4343203948400163</v>
      </c>
    </row>
    <row r="82" spans="10:10" x14ac:dyDescent="0.25">
      <c r="J82" s="479"/>
    </row>
  </sheetData>
  <mergeCells count="16">
    <mergeCell ref="A61:N61"/>
    <mergeCell ref="A62:N62"/>
    <mergeCell ref="A70:N70"/>
    <mergeCell ref="A71:N71"/>
    <mergeCell ref="A1:N1"/>
    <mergeCell ref="A2:N2"/>
    <mergeCell ref="A10:N10"/>
    <mergeCell ref="A11:N11"/>
    <mergeCell ref="A21:N21"/>
    <mergeCell ref="A42:N42"/>
    <mergeCell ref="A50:N50"/>
    <mergeCell ref="A51:N51"/>
    <mergeCell ref="A22:N22"/>
    <mergeCell ref="A30:N30"/>
    <mergeCell ref="A31:N31"/>
    <mergeCell ref="A41:N4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opLeftCell="A34" zoomScaleNormal="100" workbookViewId="0">
      <selection activeCell="G43" sqref="G43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1.140625" style="1" bestFit="1" customWidth="1"/>
    <col min="8" max="8" width="11.5703125" style="190" customWidth="1"/>
    <col min="9" max="9" width="10.85546875" customWidth="1"/>
    <col min="10" max="10" width="7.5703125" customWidth="1"/>
    <col min="11" max="11" width="7.7109375" customWidth="1"/>
    <col min="12" max="12" width="9.140625" customWidth="1"/>
    <col min="13" max="13" width="14" style="189" bestFit="1" customWidth="1"/>
    <col min="14" max="14" width="8.140625" style="190" bestFit="1" customWidth="1"/>
    <col min="15" max="15" width="13.5703125" customWidth="1"/>
    <col min="16" max="16" width="8.42578125" style="190" customWidth="1"/>
    <col min="17" max="17" width="5.5703125" customWidth="1"/>
    <col min="18" max="18" width="6.140625" bestFit="1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142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4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326" t="s">
        <v>8</v>
      </c>
      <c r="Q2" s="20"/>
      <c r="R2" s="21"/>
      <c r="S2" s="22" t="s">
        <v>9</v>
      </c>
      <c r="T2" s="7" t="s">
        <v>10</v>
      </c>
    </row>
    <row r="3" spans="1:25" ht="15.75" thickBot="1" x14ac:dyDescent="0.3">
      <c r="A3" s="8"/>
      <c r="B3" s="23"/>
      <c r="C3" s="24"/>
      <c r="D3" s="25"/>
      <c r="E3" s="26"/>
      <c r="F3" s="27"/>
      <c r="G3" s="28" t="s">
        <v>11</v>
      </c>
      <c r="H3" s="29" t="s">
        <v>12</v>
      </c>
      <c r="I3" s="30" t="s">
        <v>13</v>
      </c>
      <c r="J3" s="31" t="s">
        <v>14</v>
      </c>
      <c r="K3" s="32" t="s">
        <v>15</v>
      </c>
      <c r="L3" s="33"/>
      <c r="M3" s="34" t="s">
        <v>16</v>
      </c>
      <c r="N3" s="35" t="s">
        <v>17</v>
      </c>
      <c r="O3" s="36"/>
      <c r="P3" s="548" t="s">
        <v>18</v>
      </c>
      <c r="Q3" s="549"/>
      <c r="R3" s="550"/>
      <c r="S3" s="37" t="s">
        <v>19</v>
      </c>
      <c r="T3" s="38"/>
      <c r="U3" s="38"/>
      <c r="V3" s="38"/>
      <c r="W3" s="38"/>
      <c r="X3" s="38"/>
      <c r="Y3" s="38"/>
    </row>
    <row r="4" spans="1:25" s="52" customFormat="1" ht="12" customHeight="1" thickBot="1" x14ac:dyDescent="0.25">
      <c r="A4" s="39"/>
      <c r="B4" s="224" t="s">
        <v>84</v>
      </c>
      <c r="C4" s="225"/>
      <c r="D4" s="226"/>
      <c r="E4" s="226"/>
      <c r="F4" s="226"/>
      <c r="G4" s="42">
        <f>SUM(G5:G8)</f>
        <v>42112494.32</v>
      </c>
      <c r="H4" s="43">
        <f t="shared" ref="H4:H13" si="0">G4/$G$46</f>
        <v>0.17995241399212986</v>
      </c>
      <c r="I4" s="44"/>
      <c r="J4" s="44"/>
      <c r="K4" s="44"/>
      <c r="L4" s="44"/>
      <c r="M4" s="45"/>
      <c r="N4" s="46"/>
      <c r="O4" s="47"/>
      <c r="P4" s="327"/>
      <c r="Q4" s="283"/>
      <c r="R4" s="49"/>
      <c r="S4" s="90"/>
      <c r="T4" s="51"/>
      <c r="U4" s="51"/>
      <c r="V4" s="51"/>
      <c r="W4" s="51"/>
      <c r="X4" s="51"/>
      <c r="Y4" s="51"/>
    </row>
    <row r="5" spans="1:25" s="1" customFormat="1" ht="18" x14ac:dyDescent="0.25">
      <c r="A5" s="8"/>
      <c r="B5" s="251" t="s">
        <v>121</v>
      </c>
      <c r="C5" s="54" t="s">
        <v>20</v>
      </c>
      <c r="D5" s="55" t="s">
        <v>116</v>
      </c>
      <c r="E5" s="55"/>
      <c r="F5" s="55"/>
      <c r="G5" s="289">
        <f>'[1]FFINPrev Janeiro 2018'!$G$5</f>
        <v>12875248.58</v>
      </c>
      <c r="H5" s="64">
        <f t="shared" si="0"/>
        <v>5.5017687746398536E-2</v>
      </c>
      <c r="I5" s="290">
        <f>'[1]FFINPrev Janeiro 2018'!$I$5</f>
        <v>8.0999999999999996E-3</v>
      </c>
      <c r="J5" s="247" t="s">
        <v>21</v>
      </c>
      <c r="K5" s="247"/>
      <c r="L5" s="252"/>
      <c r="M5" s="98"/>
      <c r="N5" s="253"/>
      <c r="O5" s="551" t="s">
        <v>147</v>
      </c>
      <c r="P5" s="554">
        <f>SUM(G5:G8)/G46</f>
        <v>0.17995241399212986</v>
      </c>
      <c r="Q5" s="510">
        <v>1</v>
      </c>
      <c r="R5" s="513">
        <v>0.4</v>
      </c>
      <c r="S5" s="545" t="s">
        <v>148</v>
      </c>
      <c r="T5" s="57"/>
      <c r="U5" s="57"/>
      <c r="V5" s="56"/>
      <c r="W5" s="57"/>
      <c r="X5" s="57"/>
      <c r="Y5" s="69"/>
    </row>
    <row r="6" spans="1:25" s="1" customFormat="1" ht="18.75" thickBot="1" x14ac:dyDescent="0.3">
      <c r="A6" s="8"/>
      <c r="B6" s="249" t="s">
        <v>121</v>
      </c>
      <c r="C6" s="59" t="s">
        <v>20</v>
      </c>
      <c r="D6" s="60" t="s">
        <v>117</v>
      </c>
      <c r="E6" s="65"/>
      <c r="F6" s="65"/>
      <c r="G6" s="291">
        <f>'[1]FFINPrev Janeiro 2018'!$G$6</f>
        <v>6577491.8399999999</v>
      </c>
      <c r="H6" s="120">
        <f t="shared" si="0"/>
        <v>2.8106516931233054E-2</v>
      </c>
      <c r="I6" s="292">
        <f>'[1]FFINPrev Janeiro 2018'!$I$6</f>
        <v>2.1999999999999999E-2</v>
      </c>
      <c r="J6" s="241" t="s">
        <v>22</v>
      </c>
      <c r="K6" s="242"/>
      <c r="L6" s="243"/>
      <c r="M6" s="325">
        <v>3.1941999999999998E-2</v>
      </c>
      <c r="N6" s="63"/>
      <c r="O6" s="552"/>
      <c r="P6" s="555"/>
      <c r="Q6" s="511"/>
      <c r="R6" s="514"/>
      <c r="S6" s="546"/>
      <c r="T6" s="57"/>
      <c r="U6" s="57"/>
      <c r="V6" s="56"/>
      <c r="W6" s="57"/>
      <c r="X6" s="57"/>
      <c r="Y6" s="69"/>
    </row>
    <row r="7" spans="1:25" s="1" customFormat="1" ht="18.75" thickBot="1" x14ac:dyDescent="0.3">
      <c r="A7" s="8"/>
      <c r="B7" s="249" t="s">
        <v>121</v>
      </c>
      <c r="C7" s="59" t="s">
        <v>20</v>
      </c>
      <c r="D7" s="60" t="s">
        <v>118</v>
      </c>
      <c r="E7" s="65"/>
      <c r="F7" s="65"/>
      <c r="G7" s="293">
        <f>'[1]FFINPrev Janeiro 2018'!$G$7</f>
        <v>11623698.9</v>
      </c>
      <c r="H7" s="61">
        <f t="shared" si="0"/>
        <v>4.9669645798664348E-2</v>
      </c>
      <c r="I7" s="62">
        <f>'[1]FFINPrev Janeiro 2018'!$I$7</f>
        <v>3.7499999999999999E-2</v>
      </c>
      <c r="J7" s="244" t="s">
        <v>119</v>
      </c>
      <c r="K7" s="242"/>
      <c r="L7" s="248"/>
      <c r="M7" s="98"/>
      <c r="N7" s="63"/>
      <c r="O7" s="552"/>
      <c r="P7" s="555"/>
      <c r="Q7" s="511"/>
      <c r="R7" s="514"/>
      <c r="S7" s="546"/>
      <c r="T7" s="57"/>
      <c r="U7" s="57"/>
      <c r="V7" s="56"/>
      <c r="W7" s="57"/>
      <c r="X7" s="57"/>
      <c r="Y7" s="69"/>
    </row>
    <row r="8" spans="1:25" s="1" customFormat="1" ht="18.75" thickBot="1" x14ac:dyDescent="0.3">
      <c r="A8" s="8"/>
      <c r="B8" s="250" t="s">
        <v>122</v>
      </c>
      <c r="C8" s="59" t="s">
        <v>20</v>
      </c>
      <c r="D8" s="67" t="s">
        <v>120</v>
      </c>
      <c r="E8" s="67"/>
      <c r="F8" s="67"/>
      <c r="G8" s="294">
        <f>'[1]FFINPrev Janeiro 2018'!$G$8</f>
        <v>11036055</v>
      </c>
      <c r="H8" s="121">
        <f t="shared" si="0"/>
        <v>4.7158563515833904E-2</v>
      </c>
      <c r="I8" s="295">
        <f>'[1]FFINPrev Janeiro 2018'!$I$8</f>
        <v>5.1700000000000003E-2</v>
      </c>
      <c r="J8" s="245" t="s">
        <v>23</v>
      </c>
      <c r="K8" s="245"/>
      <c r="L8" s="246"/>
      <c r="M8" s="106"/>
      <c r="N8" s="63"/>
      <c r="O8" s="553"/>
      <c r="P8" s="556"/>
      <c r="Q8" s="512"/>
      <c r="R8" s="515"/>
      <c r="S8" s="547"/>
      <c r="T8" s="57"/>
      <c r="U8" s="57"/>
      <c r="V8" s="56"/>
      <c r="W8" s="57"/>
      <c r="X8" s="57"/>
      <c r="Y8" s="69"/>
    </row>
    <row r="9" spans="1:25" s="52" customFormat="1" ht="16.5" thickBot="1" x14ac:dyDescent="0.25">
      <c r="A9" s="39"/>
      <c r="B9" s="224" t="s">
        <v>85</v>
      </c>
      <c r="C9" s="225"/>
      <c r="D9" s="226"/>
      <c r="E9" s="226"/>
      <c r="F9" s="226"/>
      <c r="G9" s="42">
        <f>SUM(G10:G13)</f>
        <v>129937533.36000001</v>
      </c>
      <c r="H9" s="83">
        <f t="shared" si="0"/>
        <v>0.55524074681109759</v>
      </c>
      <c r="I9" s="70"/>
      <c r="J9" s="71"/>
      <c r="K9" s="44"/>
      <c r="L9" s="44"/>
      <c r="M9" s="87"/>
      <c r="N9" s="254"/>
      <c r="O9" s="47"/>
      <c r="P9" s="328"/>
      <c r="Q9" s="281"/>
      <c r="R9" s="280"/>
      <c r="S9" s="282"/>
      <c r="T9" s="51"/>
      <c r="U9" s="51"/>
      <c r="V9" s="51"/>
      <c r="W9" s="51"/>
      <c r="X9" s="51"/>
      <c r="Y9" s="51"/>
    </row>
    <row r="10" spans="1:25" s="1" customFormat="1" ht="15.75" customHeight="1" thickBot="1" x14ac:dyDescent="0.3">
      <c r="A10" s="8"/>
      <c r="B10" s="76" t="s">
        <v>123</v>
      </c>
      <c r="C10" s="77" t="s">
        <v>29</v>
      </c>
      <c r="D10" s="55" t="s">
        <v>30</v>
      </c>
      <c r="E10" s="78" t="s">
        <v>25</v>
      </c>
      <c r="F10" s="79" t="s">
        <v>26</v>
      </c>
      <c r="G10" s="289">
        <f>'[1]FFINPrev Janeiro 2018'!$G$10</f>
        <v>17532472.039999999</v>
      </c>
      <c r="H10" s="314">
        <f t="shared" si="0"/>
        <v>7.4918636803452135E-2</v>
      </c>
      <c r="I10" s="296">
        <f>'[1]FFINPrev Janeiro 2018'!$I$10</f>
        <v>1.2869999999999999E-2</v>
      </c>
      <c r="J10" s="313"/>
      <c r="K10" s="255"/>
      <c r="L10" s="123" t="s">
        <v>31</v>
      </c>
      <c r="M10" s="297">
        <v>4729358053.6199999</v>
      </c>
      <c r="N10" s="256">
        <f t="shared" ref="N10" si="1">G10/M10</f>
        <v>3.7071568363448589E-3</v>
      </c>
      <c r="O10" s="536" t="s">
        <v>28</v>
      </c>
      <c r="P10" s="539">
        <f>SUM(G10:G13)/G46</f>
        <v>0.55524074681109759</v>
      </c>
      <c r="Q10" s="542">
        <v>1</v>
      </c>
      <c r="R10" s="542">
        <v>0.5</v>
      </c>
      <c r="S10" s="533" t="s">
        <v>146</v>
      </c>
      <c r="T10" s="57"/>
      <c r="U10" s="57"/>
      <c r="V10" s="56"/>
      <c r="W10" s="57"/>
      <c r="X10" s="57"/>
      <c r="Y10" s="69"/>
    </row>
    <row r="11" spans="1:25" s="1" customFormat="1" ht="15.75" customHeight="1" thickBot="1" x14ac:dyDescent="0.3">
      <c r="A11" s="8"/>
      <c r="B11" s="76" t="s">
        <v>140</v>
      </c>
      <c r="C11" s="77" t="s">
        <v>29</v>
      </c>
      <c r="D11" s="55" t="s">
        <v>37</v>
      </c>
      <c r="E11" s="79" t="s">
        <v>25</v>
      </c>
      <c r="F11" s="117" t="s">
        <v>26</v>
      </c>
      <c r="G11" s="289">
        <f>'[1]FFINPrev Janeiro 2018'!$G$15</f>
        <v>19653487.77</v>
      </c>
      <c r="H11" s="97">
        <f t="shared" si="0"/>
        <v>8.3982025398497001E-2</v>
      </c>
      <c r="I11" s="296">
        <f>'[1]FFINPrev Janeiro 2018'!$I$15</f>
        <v>1.3122E-2</v>
      </c>
      <c r="J11" s="80"/>
      <c r="K11" s="255"/>
      <c r="L11" s="259" t="s">
        <v>34</v>
      </c>
      <c r="M11" s="297">
        <v>2196083459.8899999</v>
      </c>
      <c r="N11" s="256">
        <f>G11/M11</f>
        <v>8.9493355461929616E-3</v>
      </c>
      <c r="O11" s="537"/>
      <c r="P11" s="540"/>
      <c r="Q11" s="543"/>
      <c r="R11" s="543"/>
      <c r="S11" s="534"/>
      <c r="T11" s="57"/>
      <c r="U11" s="57"/>
      <c r="V11" s="56"/>
      <c r="W11" s="57"/>
      <c r="X11" s="57"/>
      <c r="Y11" s="69"/>
    </row>
    <row r="12" spans="1:25" s="1" customFormat="1" ht="18.75" thickBot="1" x14ac:dyDescent="0.3">
      <c r="A12" s="8"/>
      <c r="B12" s="84" t="s">
        <v>124</v>
      </c>
      <c r="C12" s="67" t="s">
        <v>33</v>
      </c>
      <c r="D12" s="60" t="s">
        <v>35</v>
      </c>
      <c r="E12" s="82" t="s">
        <v>25</v>
      </c>
      <c r="F12" s="82" t="s">
        <v>25</v>
      </c>
      <c r="G12" s="293">
        <f>'[1]FFINPrev Janeiro 2018'!$G$12</f>
        <v>50959803.170000002</v>
      </c>
      <c r="H12" s="314">
        <f t="shared" si="0"/>
        <v>0.2177581676193929</v>
      </c>
      <c r="I12" s="62">
        <f>'[1]FFINPrev Janeiro 2018'!$I$12</f>
        <v>1.3703E-2</v>
      </c>
      <c r="J12" s="257"/>
      <c r="K12" s="258"/>
      <c r="L12" s="259" t="s">
        <v>34</v>
      </c>
      <c r="M12" s="298">
        <v>2759142861.0300002</v>
      </c>
      <c r="N12" s="260">
        <f>G12/M12</f>
        <v>1.8469432623353356E-2</v>
      </c>
      <c r="O12" s="537"/>
      <c r="P12" s="540"/>
      <c r="Q12" s="543"/>
      <c r="R12" s="543"/>
      <c r="S12" s="534"/>
      <c r="T12" s="57"/>
      <c r="U12" s="57"/>
      <c r="V12" s="56"/>
      <c r="W12" s="57"/>
      <c r="X12" s="57"/>
      <c r="Y12" s="69"/>
    </row>
    <row r="13" spans="1:25" s="1" customFormat="1" ht="18.75" thickBot="1" x14ac:dyDescent="0.3">
      <c r="A13" s="8">
        <v>12</v>
      </c>
      <c r="B13" s="53" t="s">
        <v>124</v>
      </c>
      <c r="C13" s="118" t="s">
        <v>33</v>
      </c>
      <c r="D13" s="65" t="s">
        <v>125</v>
      </c>
      <c r="E13" s="82" t="s">
        <v>25</v>
      </c>
      <c r="F13" s="82" t="s">
        <v>25</v>
      </c>
      <c r="G13" s="293">
        <f>'[1]FFINPrev Janeiro 2018'!$G$11</f>
        <v>41791770.380000003</v>
      </c>
      <c r="H13" s="314">
        <f t="shared" si="0"/>
        <v>0.17858191698975551</v>
      </c>
      <c r="I13" s="62">
        <f>'[1]FFINPrev Janeiro 2018'!$I$11</f>
        <v>1.3073E-2</v>
      </c>
      <c r="J13" s="86"/>
      <c r="K13" s="261"/>
      <c r="L13" s="259" t="s">
        <v>34</v>
      </c>
      <c r="M13" s="299">
        <v>6740982774.0600004</v>
      </c>
      <c r="N13" s="260">
        <f>G13/M13</f>
        <v>6.1996554183195753E-3</v>
      </c>
      <c r="O13" s="538"/>
      <c r="P13" s="541"/>
      <c r="Q13" s="544"/>
      <c r="R13" s="544"/>
      <c r="S13" s="535"/>
      <c r="T13" s="57"/>
      <c r="U13" s="57"/>
      <c r="V13" s="56"/>
      <c r="W13" s="57"/>
      <c r="X13" s="57"/>
      <c r="Y13" s="69"/>
    </row>
    <row r="14" spans="1:25" s="1" customFormat="1" ht="16.5" thickBot="1" x14ac:dyDescent="0.3">
      <c r="A14" s="113"/>
      <c r="B14" s="227" t="s">
        <v>91</v>
      </c>
      <c r="C14" s="228"/>
      <c r="D14" s="229"/>
      <c r="E14" s="230"/>
      <c r="F14" s="230"/>
      <c r="G14" s="214"/>
      <c r="H14" s="43"/>
      <c r="I14" s="43"/>
      <c r="J14" s="43"/>
      <c r="K14" s="206"/>
      <c r="L14" s="210"/>
      <c r="M14" s="202"/>
      <c r="N14" s="115"/>
      <c r="O14" s="203" t="s">
        <v>28</v>
      </c>
      <c r="P14" s="329">
        <v>0</v>
      </c>
      <c r="Q14" s="108">
        <v>1</v>
      </c>
      <c r="R14" s="74">
        <v>0</v>
      </c>
      <c r="S14" s="196" t="s">
        <v>86</v>
      </c>
      <c r="T14" s="57"/>
      <c r="U14" s="57"/>
      <c r="V14" s="56"/>
      <c r="W14" s="57"/>
      <c r="X14" s="57"/>
      <c r="Y14" s="69"/>
    </row>
    <row r="15" spans="1:25" s="1" customFormat="1" ht="16.5" thickBot="1" x14ac:dyDescent="0.3">
      <c r="A15" s="113"/>
      <c r="B15" s="227" t="s">
        <v>87</v>
      </c>
      <c r="C15" s="228"/>
      <c r="D15" s="231"/>
      <c r="E15" s="232"/>
      <c r="F15" s="232"/>
      <c r="G15" s="215"/>
      <c r="H15" s="43"/>
      <c r="I15" s="83"/>
      <c r="J15" s="83"/>
      <c r="K15" s="119"/>
      <c r="L15" s="81"/>
      <c r="M15" s="208"/>
      <c r="N15" s="312"/>
      <c r="O15" s="209" t="s">
        <v>28</v>
      </c>
      <c r="P15" s="330">
        <v>0</v>
      </c>
      <c r="Q15" s="107">
        <v>0.05</v>
      </c>
      <c r="R15" s="108">
        <v>0</v>
      </c>
      <c r="S15" s="109" t="s">
        <v>88</v>
      </c>
      <c r="T15" s="57"/>
      <c r="U15" s="57"/>
      <c r="V15" s="56"/>
      <c r="W15" s="57"/>
      <c r="X15" s="57"/>
      <c r="Y15" s="69"/>
    </row>
    <row r="16" spans="1:25" s="52" customFormat="1" ht="16.5" thickBot="1" x14ac:dyDescent="0.25">
      <c r="A16" s="39"/>
      <c r="B16" s="224" t="s">
        <v>89</v>
      </c>
      <c r="C16" s="225"/>
      <c r="D16" s="226"/>
      <c r="E16" s="226"/>
      <c r="F16" s="226"/>
      <c r="G16" s="42"/>
      <c r="H16" s="43">
        <f>G16/$G$46</f>
        <v>0</v>
      </c>
      <c r="I16" s="70"/>
      <c r="J16" s="44"/>
      <c r="K16" s="44"/>
      <c r="L16" s="211"/>
      <c r="M16" s="87"/>
      <c r="N16" s="88"/>
      <c r="O16" s="94"/>
      <c r="P16" s="331">
        <v>0</v>
      </c>
      <c r="Q16" s="89"/>
      <c r="R16" s="213"/>
      <c r="S16" s="90"/>
      <c r="T16" s="51"/>
      <c r="U16" s="51"/>
      <c r="V16" s="51"/>
      <c r="W16" s="51"/>
      <c r="X16" s="51"/>
      <c r="Y16" s="51"/>
    </row>
    <row r="17" spans="1:25" s="1" customFormat="1" ht="16.5" thickBot="1" x14ac:dyDescent="0.3">
      <c r="A17" s="8"/>
      <c r="B17" s="233" t="s">
        <v>96</v>
      </c>
      <c r="C17" s="228"/>
      <c r="D17" s="234"/>
      <c r="E17" s="230"/>
      <c r="F17" s="232"/>
      <c r="G17" s="200"/>
      <c r="H17" s="218"/>
      <c r="I17" s="124"/>
      <c r="J17" s="124"/>
      <c r="K17" s="219"/>
      <c r="L17" s="317"/>
      <c r="M17" s="220"/>
      <c r="N17" s="43"/>
      <c r="O17" s="212" t="s">
        <v>90</v>
      </c>
      <c r="P17" s="330">
        <v>0</v>
      </c>
      <c r="Q17" s="108">
        <v>0.6</v>
      </c>
      <c r="R17" s="108">
        <v>0</v>
      </c>
      <c r="S17" s="207" t="s">
        <v>95</v>
      </c>
      <c r="T17" s="93"/>
      <c r="U17" s="57"/>
      <c r="V17" s="56"/>
      <c r="W17" s="56"/>
      <c r="X17" s="56"/>
      <c r="Y17" s="58"/>
    </row>
    <row r="18" spans="1:25" s="52" customFormat="1" ht="16.5" thickBot="1" x14ac:dyDescent="0.25">
      <c r="A18" s="39"/>
      <c r="B18" s="224" t="s">
        <v>92</v>
      </c>
      <c r="C18" s="225"/>
      <c r="D18" s="226"/>
      <c r="E18" s="226"/>
      <c r="F18" s="226"/>
      <c r="G18" s="221">
        <f>SUM(G19:G23)</f>
        <v>39560098.869999997</v>
      </c>
      <c r="H18" s="124">
        <f t="shared" ref="H18:H23" si="2">G18/$G$46</f>
        <v>0.16904568120162178</v>
      </c>
      <c r="I18" s="217"/>
      <c r="J18" s="44"/>
      <c r="K18" s="102"/>
      <c r="L18" s="44"/>
      <c r="M18" s="87"/>
      <c r="N18" s="88"/>
      <c r="O18" s="41"/>
      <c r="P18" s="332"/>
      <c r="Q18" s="89"/>
      <c r="R18" s="49"/>
      <c r="S18" s="94"/>
      <c r="T18" s="51"/>
      <c r="U18" s="51"/>
      <c r="V18" s="51"/>
      <c r="W18" s="51"/>
      <c r="X18" s="51"/>
      <c r="Y18" s="51"/>
    </row>
    <row r="19" spans="1:25" s="1" customFormat="1" ht="18" x14ac:dyDescent="0.25">
      <c r="A19" s="8"/>
      <c r="B19" s="53" t="s">
        <v>141</v>
      </c>
      <c r="C19" s="91" t="s">
        <v>40</v>
      </c>
      <c r="D19" s="60" t="s">
        <v>41</v>
      </c>
      <c r="E19" s="85" t="s">
        <v>42</v>
      </c>
      <c r="F19" s="85" t="s">
        <v>42</v>
      </c>
      <c r="G19" s="301">
        <f>'[1]FFINPrev Janeiro 2018'!$G$18</f>
        <v>37070.94</v>
      </c>
      <c r="H19" s="95">
        <f t="shared" si="2"/>
        <v>1.5840916691532144E-4</v>
      </c>
      <c r="I19" s="292">
        <f>'[2]FFINPrev Dezembro 2017'!$I$18</f>
        <v>5.3E-3</v>
      </c>
      <c r="J19" s="277"/>
      <c r="K19" s="269"/>
      <c r="L19" s="259" t="s">
        <v>43</v>
      </c>
      <c r="M19" s="302">
        <v>6788321803.6999998</v>
      </c>
      <c r="N19" s="260">
        <f>G19/M19</f>
        <v>5.4609874239895857E-6</v>
      </c>
      <c r="O19" s="504" t="s">
        <v>36</v>
      </c>
      <c r="P19" s="527">
        <f>SUM(G19:G23)/G46</f>
        <v>0.16904568120162178</v>
      </c>
      <c r="Q19" s="530">
        <v>0.4</v>
      </c>
      <c r="R19" s="530">
        <v>0.3</v>
      </c>
      <c r="S19" s="533" t="s">
        <v>149</v>
      </c>
      <c r="T19" s="57"/>
      <c r="U19" s="57"/>
      <c r="V19" s="56"/>
      <c r="W19" s="57"/>
      <c r="X19" s="57"/>
      <c r="Y19" s="69"/>
    </row>
    <row r="20" spans="1:25" s="1" customFormat="1" ht="18" x14ac:dyDescent="0.25">
      <c r="A20" s="8"/>
      <c r="B20" s="53" t="s">
        <v>126</v>
      </c>
      <c r="C20" s="91" t="s">
        <v>38</v>
      </c>
      <c r="D20" s="92" t="s">
        <v>39</v>
      </c>
      <c r="E20" s="78" t="s">
        <v>25</v>
      </c>
      <c r="F20" s="78" t="s">
        <v>26</v>
      </c>
      <c r="G20" s="289">
        <v>8633146.1400000006</v>
      </c>
      <c r="H20" s="97">
        <f t="shared" si="2"/>
        <v>3.6890607249118128E-2</v>
      </c>
      <c r="I20" s="296">
        <v>5.7000000000000002E-3</v>
      </c>
      <c r="J20" s="80"/>
      <c r="K20" s="271"/>
      <c r="L20" s="272" t="s">
        <v>34</v>
      </c>
      <c r="M20" s="300">
        <f>'[1]FFINPrev Janeiro 2018'!$M$14</f>
        <v>279603229.01999998</v>
      </c>
      <c r="N20" s="256">
        <f>G20/M20</f>
        <v>3.0876417880647839E-2</v>
      </c>
      <c r="O20" s="505"/>
      <c r="P20" s="528"/>
      <c r="Q20" s="531"/>
      <c r="R20" s="531"/>
      <c r="S20" s="534"/>
      <c r="T20" s="57"/>
      <c r="U20" s="57"/>
      <c r="V20" s="56"/>
      <c r="W20" s="57"/>
      <c r="X20" s="57"/>
      <c r="Y20" s="69"/>
    </row>
    <row r="21" spans="1:25" s="1" customFormat="1" ht="18.75" thickBot="1" x14ac:dyDescent="0.3">
      <c r="A21" s="8"/>
      <c r="B21" s="53" t="s">
        <v>127</v>
      </c>
      <c r="C21" s="118" t="s">
        <v>128</v>
      </c>
      <c r="D21" s="65" t="s">
        <v>129</v>
      </c>
      <c r="E21" s="79" t="s">
        <v>25</v>
      </c>
      <c r="F21" s="79" t="s">
        <v>25</v>
      </c>
      <c r="G21" s="293">
        <f>'[1]FFINPrev Janeiro 2018'!$G$16</f>
        <v>21406257.32</v>
      </c>
      <c r="H21" s="97">
        <f t="shared" si="2"/>
        <v>9.1471847998356698E-2</v>
      </c>
      <c r="I21" s="62">
        <f>'[1]FFINPrev Janeiro 2018'!$I$16</f>
        <v>3.3029000000000003E-2</v>
      </c>
      <c r="J21" s="367"/>
      <c r="K21" s="261"/>
      <c r="L21" s="259" t="s">
        <v>27</v>
      </c>
      <c r="M21" s="300">
        <v>2539443158.4000001</v>
      </c>
      <c r="N21" s="256">
        <f>G21/M21</f>
        <v>8.4295083546926924E-3</v>
      </c>
      <c r="O21" s="505"/>
      <c r="P21" s="528"/>
      <c r="Q21" s="531"/>
      <c r="R21" s="531"/>
      <c r="S21" s="534"/>
      <c r="T21" s="57"/>
      <c r="U21" s="57"/>
      <c r="V21" s="56"/>
      <c r="W21" s="57"/>
      <c r="X21" s="57"/>
      <c r="Y21" s="69"/>
    </row>
    <row r="22" spans="1:25" s="1" customFormat="1" ht="18.75" thickBot="1" x14ac:dyDescent="0.3">
      <c r="A22" s="8"/>
      <c r="B22" s="53" t="s">
        <v>130</v>
      </c>
      <c r="C22" s="75" t="s">
        <v>24</v>
      </c>
      <c r="D22" s="60" t="s">
        <v>44</v>
      </c>
      <c r="E22" s="85" t="s">
        <v>25</v>
      </c>
      <c r="F22" s="85" t="s">
        <v>26</v>
      </c>
      <c r="G22" s="303">
        <f>'[1]FFINPrev Janeiro 2018'!$G$19</f>
        <v>8422590.2200000007</v>
      </c>
      <c r="H22" s="95">
        <f t="shared" si="2"/>
        <v>3.5990873175035056E-2</v>
      </c>
      <c r="I22" s="290">
        <f>'[1]FFINPrev Janeiro 2018'!$I$19</f>
        <v>1.49E-2</v>
      </c>
      <c r="J22" s="80"/>
      <c r="K22" s="258"/>
      <c r="L22" s="259" t="s">
        <v>45</v>
      </c>
      <c r="M22" s="304">
        <v>1473930062</v>
      </c>
      <c r="N22" s="260">
        <f t="shared" ref="N22" si="3">G22/M22</f>
        <v>5.7143757612021628E-3</v>
      </c>
      <c r="O22" s="505"/>
      <c r="P22" s="528"/>
      <c r="Q22" s="531"/>
      <c r="R22" s="531"/>
      <c r="S22" s="534"/>
      <c r="T22" s="57"/>
      <c r="U22" s="57"/>
      <c r="V22" s="56"/>
      <c r="W22" s="57"/>
      <c r="X22" s="57"/>
      <c r="Y22" s="69"/>
    </row>
    <row r="23" spans="1:25" s="1" customFormat="1" ht="18.75" thickBot="1" x14ac:dyDescent="0.3">
      <c r="A23" s="8">
        <v>23</v>
      </c>
      <c r="B23" s="53" t="s">
        <v>131</v>
      </c>
      <c r="C23" s="75" t="s">
        <v>132</v>
      </c>
      <c r="D23" s="60" t="s">
        <v>133</v>
      </c>
      <c r="E23" s="85" t="s">
        <v>25</v>
      </c>
      <c r="F23" s="85" t="s">
        <v>25</v>
      </c>
      <c r="G23" s="301">
        <f>'[1]FFINPrev Janeiro 2018'!$G$20</f>
        <v>1061034.25</v>
      </c>
      <c r="H23" s="95">
        <f t="shared" si="2"/>
        <v>4.5339436121965854E-3</v>
      </c>
      <c r="I23" s="62">
        <f>'[1]FFINPrev Janeiro 2018'!$I$20</f>
        <v>5.7000000000000002E-3</v>
      </c>
      <c r="J23" s="86"/>
      <c r="K23" s="258"/>
      <c r="L23" s="315" t="s">
        <v>43</v>
      </c>
      <c r="M23" s="305">
        <v>10907536241.889999</v>
      </c>
      <c r="N23" s="316">
        <f t="shared" ref="N23" si="4">G23/M23</f>
        <v>9.7275335737610137E-5</v>
      </c>
      <c r="O23" s="506"/>
      <c r="P23" s="529"/>
      <c r="Q23" s="532"/>
      <c r="R23" s="532"/>
      <c r="S23" s="535"/>
      <c r="T23" s="57"/>
      <c r="U23" s="57"/>
      <c r="V23" s="56"/>
      <c r="W23" s="57"/>
      <c r="X23" s="57"/>
      <c r="Y23" s="69"/>
    </row>
    <row r="24" spans="1:25" s="1" customFormat="1" ht="16.5" thickBot="1" x14ac:dyDescent="0.3">
      <c r="A24" s="8"/>
      <c r="B24" s="233" t="s">
        <v>93</v>
      </c>
      <c r="C24" s="228"/>
      <c r="D24" s="231"/>
      <c r="E24" s="235"/>
      <c r="F24" s="235"/>
      <c r="G24" s="214"/>
      <c r="H24" s="218"/>
      <c r="I24" s="43"/>
      <c r="J24" s="43"/>
      <c r="K24" s="206"/>
      <c r="L24" s="222"/>
      <c r="M24" s="204"/>
      <c r="N24" s="115"/>
      <c r="O24" s="212" t="s">
        <v>36</v>
      </c>
      <c r="P24" s="330">
        <v>0</v>
      </c>
      <c r="Q24" s="107">
        <v>0.4</v>
      </c>
      <c r="R24" s="108">
        <v>0</v>
      </c>
      <c r="S24" s="109" t="s">
        <v>94</v>
      </c>
      <c r="T24" s="57"/>
      <c r="U24" s="57"/>
      <c r="V24" s="56"/>
      <c r="W24" s="57"/>
      <c r="X24" s="57"/>
      <c r="Y24" s="69"/>
    </row>
    <row r="25" spans="1:25" s="1" customFormat="1" ht="16.5" thickBot="1" x14ac:dyDescent="0.3">
      <c r="A25" s="8"/>
      <c r="B25" s="233" t="s">
        <v>97</v>
      </c>
      <c r="C25" s="228"/>
      <c r="D25" s="229"/>
      <c r="E25" s="235"/>
      <c r="F25" s="235"/>
      <c r="G25" s="214"/>
      <c r="H25" s="124"/>
      <c r="I25" s="43"/>
      <c r="J25" s="124"/>
      <c r="K25" s="100"/>
      <c r="L25" s="222"/>
      <c r="M25" s="101"/>
      <c r="N25" s="322"/>
      <c r="O25" s="275" t="s">
        <v>36</v>
      </c>
      <c r="P25" s="330">
        <v>0</v>
      </c>
      <c r="Q25" s="108">
        <v>0.2</v>
      </c>
      <c r="R25" s="74">
        <v>0</v>
      </c>
      <c r="S25" s="109" t="s">
        <v>98</v>
      </c>
      <c r="T25" s="57"/>
      <c r="U25" s="57"/>
      <c r="V25" s="56"/>
      <c r="W25" s="57"/>
      <c r="X25" s="57"/>
      <c r="Y25" s="69"/>
    </row>
    <row r="26" spans="1:25" s="1" customFormat="1" ht="16.5" thickBot="1" x14ac:dyDescent="0.3">
      <c r="A26" s="8"/>
      <c r="B26" s="233" t="s">
        <v>99</v>
      </c>
      <c r="C26" s="228"/>
      <c r="D26" s="229"/>
      <c r="E26" s="235"/>
      <c r="F26" s="235"/>
      <c r="G26" s="205"/>
      <c r="H26" s="124"/>
      <c r="I26" s="43"/>
      <c r="J26" s="124"/>
      <c r="K26" s="100"/>
      <c r="L26" s="222"/>
      <c r="M26" s="101"/>
      <c r="N26" s="322"/>
      <c r="O26" s="201" t="s">
        <v>36</v>
      </c>
      <c r="P26" s="333">
        <v>0</v>
      </c>
      <c r="Q26" s="73">
        <v>0.15</v>
      </c>
      <c r="R26" s="74">
        <v>0</v>
      </c>
      <c r="S26" s="109" t="s">
        <v>101</v>
      </c>
      <c r="T26" s="57"/>
      <c r="U26" s="57"/>
      <c r="V26" s="56"/>
      <c r="W26" s="57"/>
      <c r="X26" s="57"/>
      <c r="Y26" s="69"/>
    </row>
    <row r="27" spans="1:25" s="1" customFormat="1" ht="16.5" thickBot="1" x14ac:dyDescent="0.3">
      <c r="A27" s="8"/>
      <c r="B27" s="233" t="s">
        <v>100</v>
      </c>
      <c r="C27" s="228"/>
      <c r="D27" s="229"/>
      <c r="E27" s="235"/>
      <c r="F27" s="235"/>
      <c r="G27" s="205"/>
      <c r="H27" s="124"/>
      <c r="I27" s="43"/>
      <c r="J27" s="124"/>
      <c r="K27" s="100"/>
      <c r="L27" s="222"/>
      <c r="M27" s="101"/>
      <c r="N27" s="322"/>
      <c r="O27" s="201" t="s">
        <v>36</v>
      </c>
      <c r="P27" s="333">
        <v>0</v>
      </c>
      <c r="Q27" s="73">
        <v>0.15</v>
      </c>
      <c r="R27" s="74">
        <v>0</v>
      </c>
      <c r="S27" s="109" t="s">
        <v>102</v>
      </c>
      <c r="T27" s="57"/>
      <c r="U27" s="57"/>
      <c r="V27" s="56"/>
      <c r="W27" s="57"/>
      <c r="X27" s="57"/>
      <c r="Y27" s="69"/>
    </row>
    <row r="28" spans="1:25" s="52" customFormat="1" ht="16.5" thickBot="1" x14ac:dyDescent="0.25">
      <c r="A28" s="39"/>
      <c r="B28" s="224" t="s">
        <v>103</v>
      </c>
      <c r="C28" s="225"/>
      <c r="D28" s="226"/>
      <c r="E28" s="226"/>
      <c r="F28" s="226"/>
      <c r="G28" s="42"/>
      <c r="H28" s="43">
        <f>G28/$G$46</f>
        <v>0</v>
      </c>
      <c r="I28" s="70"/>
      <c r="J28" s="44"/>
      <c r="K28" s="44"/>
      <c r="L28" s="102"/>
      <c r="M28" s="103"/>
      <c r="N28" s="323"/>
      <c r="O28" s="104"/>
      <c r="P28" s="334">
        <v>0</v>
      </c>
      <c r="Q28" s="197"/>
      <c r="R28" s="49"/>
      <c r="S28" s="90"/>
      <c r="T28" s="51"/>
      <c r="U28" s="51"/>
      <c r="V28" s="51"/>
      <c r="W28" s="51"/>
      <c r="X28" s="51"/>
      <c r="Y28" s="51"/>
    </row>
    <row r="29" spans="1:25" s="1" customFormat="1" ht="16.5" thickBot="1" x14ac:dyDescent="0.3">
      <c r="A29" s="8"/>
      <c r="B29" s="236" t="s">
        <v>104</v>
      </c>
      <c r="C29" s="228"/>
      <c r="D29" s="237"/>
      <c r="E29" s="235"/>
      <c r="F29" s="235"/>
      <c r="G29" s="199"/>
      <c r="H29" s="124"/>
      <c r="I29" s="223"/>
      <c r="J29" s="124"/>
      <c r="K29" s="100"/>
      <c r="L29" s="222"/>
      <c r="M29" s="101"/>
      <c r="N29" s="115"/>
      <c r="O29" s="217"/>
      <c r="P29" s="330">
        <v>0</v>
      </c>
      <c r="Q29" s="107">
        <v>0.05</v>
      </c>
      <c r="R29" s="108">
        <v>0.01</v>
      </c>
      <c r="S29" s="196" t="s">
        <v>106</v>
      </c>
      <c r="T29" s="57"/>
      <c r="U29" s="57"/>
      <c r="V29" s="56"/>
      <c r="W29" s="57"/>
      <c r="X29" s="56"/>
      <c r="Y29" s="58"/>
    </row>
    <row r="30" spans="1:25" s="1" customFormat="1" ht="16.5" thickBot="1" x14ac:dyDescent="0.3">
      <c r="A30" s="8"/>
      <c r="B30" s="236" t="s">
        <v>105</v>
      </c>
      <c r="C30" s="228"/>
      <c r="D30" s="237"/>
      <c r="E30" s="235"/>
      <c r="F30" s="235"/>
      <c r="G30" s="199"/>
      <c r="H30" s="124"/>
      <c r="I30" s="223"/>
      <c r="J30" s="124"/>
      <c r="K30" s="100"/>
      <c r="L30" s="222"/>
      <c r="M30" s="101"/>
      <c r="N30" s="322"/>
      <c r="O30" s="217"/>
      <c r="P30" s="330">
        <v>0</v>
      </c>
      <c r="Q30" s="107">
        <v>0.05</v>
      </c>
      <c r="R30" s="108">
        <v>0</v>
      </c>
      <c r="S30" s="196" t="s">
        <v>107</v>
      </c>
      <c r="T30" s="57"/>
      <c r="U30" s="57"/>
      <c r="V30" s="56"/>
      <c r="W30" s="57"/>
      <c r="X30" s="56"/>
      <c r="Y30" s="58"/>
    </row>
    <row r="31" spans="1:25" s="52" customFormat="1" ht="16.5" thickBot="1" x14ac:dyDescent="0.25">
      <c r="A31" s="39"/>
      <c r="B31" s="224" t="s">
        <v>108</v>
      </c>
      <c r="C31" s="225"/>
      <c r="D31" s="226"/>
      <c r="E31" s="226"/>
      <c r="F31" s="226"/>
      <c r="G31" s="42"/>
      <c r="H31" s="43">
        <f>G31/$G$46</f>
        <v>0</v>
      </c>
      <c r="I31" s="70"/>
      <c r="J31" s="44"/>
      <c r="K31" s="44"/>
      <c r="L31" s="44"/>
      <c r="M31" s="87"/>
      <c r="N31" s="323"/>
      <c r="O31" s="41"/>
      <c r="P31" s="337">
        <f>SUM((G4+G9+G14+G15+G16+G17+G18+G24+G25+G26+G28+G29+G30)/G46)</f>
        <v>0.90423884200484916</v>
      </c>
      <c r="Q31" s="283"/>
      <c r="R31" s="198"/>
      <c r="S31" s="90"/>
      <c r="T31" s="51"/>
      <c r="U31" s="51"/>
      <c r="V31" s="51"/>
      <c r="W31" s="51"/>
      <c r="X31" s="51"/>
      <c r="Y31" s="51"/>
    </row>
    <row r="32" spans="1:25" s="1" customFormat="1" ht="16.5" thickBot="1" x14ac:dyDescent="0.3">
      <c r="A32" s="113"/>
      <c r="B32" s="224" t="s">
        <v>111</v>
      </c>
      <c r="C32" s="225"/>
      <c r="D32" s="226"/>
      <c r="E32" s="226"/>
      <c r="F32" s="226"/>
      <c r="G32" s="42"/>
      <c r="H32" s="115">
        <f>G32/$G$46</f>
        <v>0</v>
      </c>
      <c r="I32" s="70"/>
      <c r="J32" s="44"/>
      <c r="K32" s="44"/>
      <c r="L32" s="44"/>
      <c r="M32" s="87"/>
      <c r="N32" s="88"/>
      <c r="O32" s="41"/>
      <c r="P32" s="334">
        <v>0</v>
      </c>
      <c r="Q32" s="48"/>
      <c r="R32" s="49"/>
      <c r="S32" s="90"/>
      <c r="T32" s="57"/>
      <c r="U32" s="57"/>
      <c r="V32" s="56"/>
      <c r="W32" s="57"/>
      <c r="X32" s="57"/>
      <c r="Y32" s="112"/>
    </row>
    <row r="33" spans="1:25" s="52" customFormat="1" ht="16.5" thickBot="1" x14ac:dyDescent="0.25">
      <c r="A33" s="39"/>
      <c r="B33" s="224" t="s">
        <v>109</v>
      </c>
      <c r="C33" s="225"/>
      <c r="D33" s="226"/>
      <c r="E33" s="226"/>
      <c r="F33" s="226"/>
      <c r="G33" s="42">
        <f>SUM(G34:G36)</f>
        <v>15674942.5</v>
      </c>
      <c r="H33" s="43">
        <f>G33/$G$46</f>
        <v>6.6981160522785924E-2</v>
      </c>
      <c r="I33" s="70"/>
      <c r="J33" s="28"/>
      <c r="K33" s="44"/>
      <c r="L33" s="44"/>
      <c r="M33" s="87"/>
      <c r="N33" s="88"/>
      <c r="O33" s="104"/>
      <c r="P33" s="332"/>
      <c r="Q33" s="283"/>
      <c r="R33" s="89"/>
      <c r="S33" s="94"/>
      <c r="T33" s="51"/>
      <c r="U33" s="51"/>
      <c r="V33" s="51"/>
      <c r="W33" s="51"/>
      <c r="X33" s="51"/>
      <c r="Y33" s="51"/>
    </row>
    <row r="34" spans="1:25" s="1" customFormat="1" ht="18" x14ac:dyDescent="0.25">
      <c r="A34" s="8">
        <v>36</v>
      </c>
      <c r="B34" s="53" t="s">
        <v>134</v>
      </c>
      <c r="C34" s="118"/>
      <c r="D34" s="60" t="s">
        <v>49</v>
      </c>
      <c r="E34" s="85" t="s">
        <v>50</v>
      </c>
      <c r="F34" s="85" t="s">
        <v>51</v>
      </c>
      <c r="G34" s="303">
        <f>'[1]FFINPrev Janeiro 2018'!$G$37</f>
        <v>7199602.6399999997</v>
      </c>
      <c r="H34" s="61">
        <f>G34/$G$46</f>
        <v>3.0764880964004388E-2</v>
      </c>
      <c r="I34" s="296">
        <f>'[1]FFINPrev Janeiro 2018'!$I$37</f>
        <v>9.2200000000000004E-2</v>
      </c>
      <c r="J34" s="111"/>
      <c r="K34" s="263"/>
      <c r="L34" s="262" t="s">
        <v>135</v>
      </c>
      <c r="M34" s="306">
        <v>493662489.12</v>
      </c>
      <c r="N34" s="318">
        <f t="shared" ref="N34:N35" si="5">G34/M34</f>
        <v>1.4584058539335186E-2</v>
      </c>
      <c r="O34" s="504" t="s">
        <v>47</v>
      </c>
      <c r="P34" s="507">
        <f>SUM(G34:G36)/G46</f>
        <v>6.6981160522785924E-2</v>
      </c>
      <c r="Q34" s="510">
        <v>0.2</v>
      </c>
      <c r="R34" s="513">
        <v>0.15</v>
      </c>
      <c r="S34" s="516" t="s">
        <v>145</v>
      </c>
      <c r="T34" s="407"/>
      <c r="U34" s="57"/>
      <c r="V34" s="56"/>
      <c r="W34" s="57"/>
      <c r="X34" s="57"/>
      <c r="Y34" s="112"/>
    </row>
    <row r="35" spans="1:25" s="1" customFormat="1" ht="18" x14ac:dyDescent="0.25">
      <c r="A35" s="8"/>
      <c r="B35" s="53" t="s">
        <v>134</v>
      </c>
      <c r="C35" s="118"/>
      <c r="D35" s="60" t="s">
        <v>136</v>
      </c>
      <c r="E35" s="85" t="s">
        <v>26</v>
      </c>
      <c r="F35" s="85" t="s">
        <v>32</v>
      </c>
      <c r="G35" s="303">
        <f>'[1]FFINPrev Janeiro 2018'!$G$38</f>
        <v>3947319.62</v>
      </c>
      <c r="H35" s="61">
        <f>G35/$G$46</f>
        <v>1.6867433427711926E-2</v>
      </c>
      <c r="I35" s="296">
        <f>'[1]FFINPrev Janeiro 2018'!$I$38</f>
        <v>0.13789999999999999</v>
      </c>
      <c r="J35" s="111"/>
      <c r="K35" s="265"/>
      <c r="L35" s="262" t="s">
        <v>46</v>
      </c>
      <c r="M35" s="306">
        <v>236114205.46000001</v>
      </c>
      <c r="N35" s="264">
        <f t="shared" si="5"/>
        <v>1.6717840471774215E-2</v>
      </c>
      <c r="O35" s="505"/>
      <c r="P35" s="508"/>
      <c r="Q35" s="511"/>
      <c r="R35" s="514"/>
      <c r="S35" s="517"/>
      <c r="T35" s="407"/>
      <c r="U35" s="57"/>
      <c r="V35" s="56"/>
      <c r="W35" s="57"/>
      <c r="X35" s="57"/>
      <c r="Y35" s="112"/>
    </row>
    <row r="36" spans="1:25" s="1" customFormat="1" ht="18.75" thickBot="1" x14ac:dyDescent="0.3">
      <c r="A36" s="8"/>
      <c r="B36" s="266" t="s">
        <v>137</v>
      </c>
      <c r="C36" s="77"/>
      <c r="D36" s="67" t="s">
        <v>171</v>
      </c>
      <c r="E36" s="110" t="s">
        <v>26</v>
      </c>
      <c r="F36" s="99" t="s">
        <v>32</v>
      </c>
      <c r="G36" s="307">
        <f>'[1]FFINPrev Janeiro 2018'!$G$39</f>
        <v>4528020.24</v>
      </c>
      <c r="H36" s="121">
        <f t="shared" ref="H36" si="6">G36/$G$46</f>
        <v>1.9348846131069616E-2</v>
      </c>
      <c r="I36" s="295">
        <f>'[1]FFINPrev Janeiro 2018'!$I$39</f>
        <v>5.4800000000000001E-2</v>
      </c>
      <c r="J36" s="111"/>
      <c r="K36" s="216"/>
      <c r="L36" s="267" t="s">
        <v>138</v>
      </c>
      <c r="M36" s="308">
        <v>388348892.25</v>
      </c>
      <c r="N36" s="61">
        <f t="shared" ref="N36" si="7">G36/M36</f>
        <v>1.1659670802112351E-2</v>
      </c>
      <c r="O36" s="506"/>
      <c r="P36" s="509"/>
      <c r="Q36" s="512"/>
      <c r="R36" s="515"/>
      <c r="S36" s="518"/>
      <c r="T36" s="407"/>
      <c r="U36" s="57"/>
      <c r="V36" s="56"/>
      <c r="W36" s="57"/>
      <c r="X36" s="57"/>
      <c r="Y36" s="112"/>
    </row>
    <row r="37" spans="1:25" s="1" customFormat="1" ht="16.5" thickBot="1" x14ac:dyDescent="0.3">
      <c r="A37" s="8"/>
      <c r="B37" s="240" t="s">
        <v>112</v>
      </c>
      <c r="C37" s="228"/>
      <c r="D37" s="239"/>
      <c r="E37" s="230"/>
      <c r="F37" s="232"/>
      <c r="G37" s="238"/>
      <c r="H37" s="124"/>
      <c r="I37" s="83"/>
      <c r="J37" s="273"/>
      <c r="K37" s="206"/>
      <c r="L37" s="274"/>
      <c r="M37" s="204"/>
      <c r="N37" s="43"/>
      <c r="O37" s="275" t="s">
        <v>47</v>
      </c>
      <c r="P37" s="336">
        <v>0</v>
      </c>
      <c r="Q37" s="73">
        <v>0.2</v>
      </c>
      <c r="R37" s="74">
        <v>0</v>
      </c>
      <c r="S37" s="276" t="s">
        <v>110</v>
      </c>
      <c r="T37" s="57"/>
      <c r="U37" s="57"/>
      <c r="V37" s="56"/>
      <c r="W37" s="57"/>
      <c r="X37" s="57"/>
      <c r="Y37" s="112"/>
    </row>
    <row r="38" spans="1:25" s="52" customFormat="1" ht="16.5" thickBot="1" x14ac:dyDescent="0.25">
      <c r="A38" s="39"/>
      <c r="B38" s="240" t="s">
        <v>113</v>
      </c>
      <c r="C38" s="225"/>
      <c r="D38" s="226"/>
      <c r="E38" s="226"/>
      <c r="F38" s="226"/>
      <c r="G38" s="42">
        <f>SUM(G39:G40)</f>
        <v>6725099.8700000001</v>
      </c>
      <c r="H38" s="43">
        <f>G38/$G$46</f>
        <v>2.8737266112729715E-2</v>
      </c>
      <c r="I38" s="278"/>
      <c r="J38" s="44"/>
      <c r="K38" s="44"/>
      <c r="L38" s="44"/>
      <c r="M38" s="87"/>
      <c r="N38" s="254"/>
      <c r="O38" s="104"/>
      <c r="P38" s="334"/>
      <c r="Q38" s="89"/>
      <c r="R38" s="49"/>
      <c r="S38" s="116"/>
      <c r="T38" s="51"/>
      <c r="U38" s="51"/>
      <c r="V38" s="51"/>
      <c r="W38" s="51"/>
      <c r="X38" s="51"/>
      <c r="Y38" s="51"/>
    </row>
    <row r="39" spans="1:25" s="1" customFormat="1" ht="18.75" thickBot="1" x14ac:dyDescent="0.3">
      <c r="A39" s="8"/>
      <c r="B39" s="268" t="s">
        <v>139</v>
      </c>
      <c r="C39" s="66" t="s">
        <v>48</v>
      </c>
      <c r="D39" s="122" t="s">
        <v>53</v>
      </c>
      <c r="E39" s="79" t="s">
        <v>25</v>
      </c>
      <c r="F39" s="79" t="s">
        <v>26</v>
      </c>
      <c r="G39" s="309">
        <f>'[1]FFINPrev Janeiro 2018'!$G$45</f>
        <v>3526016.27</v>
      </c>
      <c r="H39" s="64">
        <f t="shared" ref="H39:H40" si="8">G39/$G$46</f>
        <v>1.5067146931277413E-2</v>
      </c>
      <c r="I39" s="111">
        <f>'[1]FFINPrev Janeiro 2018'!$I$45</f>
        <v>5.3831999999999998E-2</v>
      </c>
      <c r="J39" s="277"/>
      <c r="K39" s="269"/>
      <c r="L39" s="123" t="s">
        <v>43</v>
      </c>
      <c r="M39" s="310">
        <v>1364986237.1800001</v>
      </c>
      <c r="N39" s="61">
        <f t="shared" ref="N39" si="9">G39/M39</f>
        <v>2.5831881479512868E-3</v>
      </c>
      <c r="O39" s="525" t="s">
        <v>150</v>
      </c>
      <c r="P39" s="507">
        <f>SUM(G39:G40)/G46</f>
        <v>2.8737266112729715E-2</v>
      </c>
      <c r="Q39" s="510">
        <v>0.1</v>
      </c>
      <c r="R39" s="510">
        <v>0.03</v>
      </c>
      <c r="S39" s="519"/>
      <c r="T39" s="57"/>
      <c r="U39" s="57"/>
      <c r="V39" s="56"/>
      <c r="W39" s="57"/>
      <c r="X39" s="57"/>
      <c r="Y39" s="69"/>
    </row>
    <row r="40" spans="1:25" s="1" customFormat="1" ht="18.75" thickBot="1" x14ac:dyDescent="0.3">
      <c r="A40" s="8"/>
      <c r="B40" s="279" t="s">
        <v>130</v>
      </c>
      <c r="C40" s="118"/>
      <c r="D40" s="67" t="s">
        <v>55</v>
      </c>
      <c r="E40" s="85" t="s">
        <v>56</v>
      </c>
      <c r="F40" s="85" t="s">
        <v>56</v>
      </c>
      <c r="G40" s="294">
        <f>'[1]FFINPrev Janeiro 2018'!$G$46</f>
        <v>3199083.6</v>
      </c>
      <c r="H40" s="68">
        <f t="shared" si="8"/>
        <v>1.3670119181452303E-2</v>
      </c>
      <c r="I40" s="295">
        <f>'[1]FFINPrev Janeiro 2018'!$I$46</f>
        <v>-1.9E-3</v>
      </c>
      <c r="J40" s="105"/>
      <c r="K40" s="270"/>
      <c r="L40" s="262" t="s">
        <v>46</v>
      </c>
      <c r="M40" s="311">
        <v>34646077.68</v>
      </c>
      <c r="N40" s="376">
        <f t="shared" ref="N40" si="10">G40/M40</f>
        <v>9.2336097307970946E-2</v>
      </c>
      <c r="O40" s="526"/>
      <c r="P40" s="509"/>
      <c r="Q40" s="512"/>
      <c r="R40" s="512"/>
      <c r="S40" s="520"/>
      <c r="T40" s="57"/>
      <c r="U40" s="57"/>
      <c r="V40" s="56"/>
      <c r="W40" s="57"/>
      <c r="X40" s="57"/>
      <c r="Y40" s="69"/>
    </row>
    <row r="41" spans="1:25" s="1" customFormat="1" ht="16.5" thickBot="1" x14ac:dyDescent="0.3">
      <c r="A41" s="8"/>
      <c r="B41" s="240" t="s">
        <v>114</v>
      </c>
      <c r="C41" s="225"/>
      <c r="D41" s="226"/>
      <c r="E41" s="226"/>
      <c r="F41" s="226"/>
      <c r="G41" s="42"/>
      <c r="H41" s="43">
        <f>G41/$G$46</f>
        <v>0</v>
      </c>
      <c r="I41" s="70"/>
      <c r="J41" s="71"/>
      <c r="K41" s="71"/>
      <c r="L41" s="44"/>
      <c r="M41" s="72"/>
      <c r="N41" s="88"/>
      <c r="O41" s="319" t="s">
        <v>151</v>
      </c>
      <c r="P41" s="335">
        <v>0</v>
      </c>
      <c r="Q41" s="324">
        <v>0.05</v>
      </c>
      <c r="R41" s="320">
        <v>0.03</v>
      </c>
      <c r="S41" s="11" t="s">
        <v>152</v>
      </c>
      <c r="T41" s="57"/>
      <c r="U41" s="57"/>
      <c r="V41" s="56"/>
      <c r="W41" s="57"/>
      <c r="X41" s="57"/>
      <c r="Y41" s="69"/>
    </row>
    <row r="42" spans="1:25" s="52" customFormat="1" ht="16.5" thickBot="1" x14ac:dyDescent="0.25">
      <c r="A42" s="39"/>
      <c r="B42" s="240" t="s">
        <v>115</v>
      </c>
      <c r="C42" s="225"/>
      <c r="D42" s="226"/>
      <c r="E42" s="226"/>
      <c r="F42" s="226"/>
      <c r="G42" s="42"/>
      <c r="H42" s="43">
        <f>G42/$G$46</f>
        <v>0</v>
      </c>
      <c r="I42" s="70"/>
      <c r="J42" s="44"/>
      <c r="K42" s="44"/>
      <c r="L42" s="44"/>
      <c r="M42" s="87"/>
      <c r="N42" s="254"/>
      <c r="O42" s="321" t="s">
        <v>153</v>
      </c>
      <c r="P42" s="335">
        <v>0</v>
      </c>
      <c r="Q42" s="320">
        <v>0.05</v>
      </c>
      <c r="R42" s="320">
        <v>0.03</v>
      </c>
      <c r="S42" s="11" t="s">
        <v>154</v>
      </c>
      <c r="T42" s="51"/>
      <c r="U42" s="51"/>
      <c r="V42" s="51"/>
      <c r="W42" s="51"/>
      <c r="X42" s="51"/>
      <c r="Y42" s="51"/>
    </row>
    <row r="43" spans="1:25" s="1" customFormat="1" ht="12" customHeight="1" thickBot="1" x14ac:dyDescent="0.3">
      <c r="A43" s="113"/>
      <c r="B43" s="114" t="s">
        <v>57</v>
      </c>
      <c r="C43" s="40"/>
      <c r="D43" s="41"/>
      <c r="E43" s="126"/>
      <c r="F43" s="126"/>
      <c r="G43" s="127">
        <f>SUM(G44:G45)</f>
        <v>10000</v>
      </c>
      <c r="H43" s="128">
        <f>G43/$G$46</f>
        <v>4.2731359635153961E-5</v>
      </c>
      <c r="I43" s="129"/>
      <c r="J43" s="130"/>
      <c r="K43" s="130"/>
      <c r="L43" s="130"/>
      <c r="M43" s="131"/>
      <c r="N43" s="88"/>
      <c r="O43" s="132"/>
      <c r="P43" s="339">
        <f>SUM((G31+G32+G33+G38+G42)/G46)</f>
        <v>9.5718426635515649E-2</v>
      </c>
      <c r="Q43" s="133"/>
      <c r="R43" s="134">
        <f>SUM(P31+P43+P44+P45)/100</f>
        <v>0.01</v>
      </c>
      <c r="S43" s="50"/>
      <c r="T43" s="125"/>
      <c r="U43" s="125"/>
      <c r="V43" s="125"/>
      <c r="W43" s="125"/>
      <c r="X43" s="125"/>
    </row>
    <row r="44" spans="1:25" s="1" customFormat="1" ht="15.75" thickBot="1" x14ac:dyDescent="0.3">
      <c r="A44" s="113">
        <v>46</v>
      </c>
      <c r="B44" s="284" t="s">
        <v>143</v>
      </c>
      <c r="C44" s="285"/>
      <c r="D44" s="286"/>
      <c r="E44" s="287"/>
      <c r="F44" s="287"/>
      <c r="G44" s="288">
        <v>0</v>
      </c>
      <c r="H44" s="83"/>
      <c r="I44" s="96">
        <v>0</v>
      </c>
      <c r="J44" s="136"/>
      <c r="K44" s="137"/>
      <c r="L44" s="138"/>
      <c r="M44" s="139"/>
      <c r="N44" s="140"/>
      <c r="O44" s="521" t="s">
        <v>58</v>
      </c>
      <c r="P44" s="523">
        <f>SUM(G44:G45)/G46</f>
        <v>4.2731359635153961E-5</v>
      </c>
      <c r="Q44" s="141"/>
      <c r="R44" s="142"/>
      <c r="S44" s="135"/>
      <c r="T44" s="125"/>
      <c r="U44" s="125"/>
      <c r="V44" s="125"/>
      <c r="W44" s="125"/>
      <c r="X44" s="125"/>
    </row>
    <row r="45" spans="1:25" s="125" customFormat="1" ht="15.75" thickBot="1" x14ac:dyDescent="0.3">
      <c r="A45" s="8">
        <v>47</v>
      </c>
      <c r="B45" s="284" t="s">
        <v>144</v>
      </c>
      <c r="C45" s="285"/>
      <c r="D45" s="286"/>
      <c r="E45" s="287"/>
      <c r="F45" s="287"/>
      <c r="G45" s="288">
        <v>10000</v>
      </c>
      <c r="H45" s="83"/>
      <c r="I45" s="62">
        <v>0</v>
      </c>
      <c r="J45" s="144"/>
      <c r="K45" s="145"/>
      <c r="L45" s="146"/>
      <c r="M45" s="147"/>
      <c r="N45" s="148"/>
      <c r="O45" s="522"/>
      <c r="P45" s="524"/>
      <c r="Q45" s="149"/>
      <c r="R45" s="150"/>
      <c r="S45" s="143"/>
      <c r="T45" s="151"/>
      <c r="V45" s="152"/>
      <c r="Y45" s="1"/>
    </row>
    <row r="46" spans="1:25" s="125" customFormat="1" ht="16.5" thickBot="1" x14ac:dyDescent="0.3">
      <c r="A46" s="8"/>
      <c r="B46" s="153" t="s">
        <v>59</v>
      </c>
      <c r="C46" s="154"/>
      <c r="D46" s="155"/>
      <c r="E46" s="156"/>
      <c r="F46" s="156"/>
      <c r="G46" s="157">
        <f>G4+G9+G14+G15+G16+G17+G18+G24+G25+G26+G27+G28+G29+G30+G31+G32+G33+G37+G38+G41+G42+G43</f>
        <v>234020168.92000002</v>
      </c>
      <c r="H46" s="158">
        <f>G46/$G$46</f>
        <v>1</v>
      </c>
      <c r="I46" s="159"/>
      <c r="J46" s="160"/>
      <c r="K46" s="161"/>
      <c r="L46" s="162"/>
      <c r="M46" s="163"/>
      <c r="N46" s="164"/>
      <c r="O46" s="165"/>
      <c r="P46" s="334">
        <f>SUM(P5+P10+P14+P15+P16+P17+P19+P24+P25+P26+P27+P28+P29+P30+P32+P34+P37+P39+P41+P42+P44)</f>
        <v>1</v>
      </c>
      <c r="Q46" s="166"/>
      <c r="R46" s="338">
        <f>P31+P43</f>
        <v>0.99995726864036483</v>
      </c>
      <c r="S46" s="167"/>
      <c r="T46" s="151"/>
      <c r="V46" s="152"/>
      <c r="Y46" s="1"/>
    </row>
    <row r="47" spans="1:25" s="125" customFormat="1" x14ac:dyDescent="0.25">
      <c r="A47" s="1"/>
      <c r="B47" s="168" t="str">
        <f>'[3]FFIN2 Janeiro 2018'!$B$71</f>
        <v>Meta Atuarial(INPC 0,23 + 0,486755)</v>
      </c>
      <c r="C47" s="168"/>
      <c r="D47" s="169"/>
      <c r="E47" s="169">
        <v>7.4000000000000003E-3</v>
      </c>
      <c r="F47" s="169"/>
      <c r="G47" s="168" t="s">
        <v>60</v>
      </c>
      <c r="H47" s="170">
        <f>'[3]FFIN2 Janeiro 2018'!$H$71</f>
        <v>0.1114</v>
      </c>
      <c r="I47" s="171"/>
      <c r="J47" s="168" t="s">
        <v>61</v>
      </c>
      <c r="K47" s="170">
        <f>'[3]FFIN2 Janeiro 2018'!$K$71</f>
        <v>2.64E-2</v>
      </c>
      <c r="L47" s="171"/>
      <c r="M47" s="172" t="s">
        <v>62</v>
      </c>
      <c r="N47" s="170">
        <f>'[3]FFIN2 Janeiro 2018'!$N$71</f>
        <v>1.2985E-2</v>
      </c>
      <c r="O47" s="1"/>
      <c r="P47" s="170" t="s">
        <v>167</v>
      </c>
      <c r="Q47" s="1"/>
      <c r="R47" s="170"/>
      <c r="S47" s="173">
        <v>2.3300000000000001E-2</v>
      </c>
      <c r="Y47" s="1"/>
    </row>
    <row r="48" spans="1:25" s="125" customFormat="1" x14ac:dyDescent="0.25">
      <c r="A48" s="1"/>
      <c r="B48" s="168" t="s">
        <v>169</v>
      </c>
      <c r="C48" s="174"/>
      <c r="D48" s="168"/>
      <c r="E48" s="175">
        <v>2.3300000000000001E-2</v>
      </c>
      <c r="F48" s="170"/>
      <c r="G48" s="168" t="s">
        <v>63</v>
      </c>
      <c r="H48" s="170">
        <f>'[3]FFIN2 Janeiro 2018'!$H$72</f>
        <v>0.1074</v>
      </c>
      <c r="I48" s="168"/>
      <c r="J48" s="168" t="s">
        <v>64</v>
      </c>
      <c r="K48" s="170">
        <f>'[3]FFIN2 Janeiro 2018'!$K$72</f>
        <v>3.4013000000000002E-2</v>
      </c>
      <c r="L48" s="170"/>
      <c r="M48" s="172" t="s">
        <v>65</v>
      </c>
      <c r="N48" s="170">
        <f>'[3]FFIN2 Janeiro 2018'!$N$72</f>
        <v>5.9239999999999996E-3</v>
      </c>
      <c r="O48" s="1"/>
      <c r="P48" s="178" t="s">
        <v>66</v>
      </c>
      <c r="Q48" s="1"/>
      <c r="R48" s="1"/>
      <c r="S48" s="173">
        <v>7.4000000000000003E-3</v>
      </c>
      <c r="Y48" s="1"/>
    </row>
    <row r="49" spans="1:25" s="125" customFormat="1" x14ac:dyDescent="0.25">
      <c r="A49" s="1"/>
      <c r="B49" s="168" t="s">
        <v>67</v>
      </c>
      <c r="C49" s="1"/>
      <c r="D49" s="170"/>
      <c r="E49" s="170">
        <f>'[3]FFIN2 Janeiro 2018'!$E$73</f>
        <v>2.3E-3</v>
      </c>
      <c r="F49" s="170"/>
      <c r="G49" s="168" t="s">
        <v>68</v>
      </c>
      <c r="H49" s="170">
        <f>'[3]FFIN2 Janeiro 2018'!$H$73</f>
        <v>0.1171</v>
      </c>
      <c r="I49" s="168"/>
      <c r="J49" s="168" t="s">
        <v>69</v>
      </c>
      <c r="K49" s="170">
        <f>'[3]FFIN2 Janeiro 2018'!$K$73</f>
        <v>1.7559999999999999E-2</v>
      </c>
      <c r="L49" s="170"/>
      <c r="M49" s="172" t="s">
        <v>70</v>
      </c>
      <c r="N49" s="170">
        <f>'[3]FFIN2 Janeiro 2018'!$N$73</f>
        <v>1.5476999999999999E-2</v>
      </c>
      <c r="O49" s="170"/>
      <c r="P49" s="178" t="s">
        <v>168</v>
      </c>
      <c r="Q49" s="1"/>
      <c r="R49" s="1"/>
      <c r="S49" s="173">
        <v>0.13880000000000001</v>
      </c>
      <c r="T49" s="177"/>
      <c r="Y49" s="1"/>
    </row>
    <row r="50" spans="1:25" s="125" customFormat="1" x14ac:dyDescent="0.25">
      <c r="A50" s="1"/>
      <c r="B50" s="168" t="s">
        <v>54</v>
      </c>
      <c r="C50" s="170"/>
      <c r="D50" s="170"/>
      <c r="E50" s="178">
        <f>'[3]FFIN2 Janeiro 2018'!$E$74</f>
        <v>5.7999999999999996E-3</v>
      </c>
      <c r="F50" s="178"/>
      <c r="G50" s="168" t="s">
        <v>71</v>
      </c>
      <c r="H50" s="170">
        <f>'[3]FFIN2 Janeiro 2018'!$H$74</f>
        <v>4.3400000000000001E-2</v>
      </c>
      <c r="I50" s="168"/>
      <c r="J50" s="168" t="s">
        <v>72</v>
      </c>
      <c r="K50" s="170">
        <f>'[3]FFIN2 Janeiro 2018'!$K$74</f>
        <v>1.3336000000000001E-2</v>
      </c>
      <c r="L50" s="170"/>
      <c r="M50" s="172" t="s">
        <v>73</v>
      </c>
      <c r="N50" s="170">
        <f>'[3]FFIN2 Janeiro 2018'!$N$74</f>
        <v>4.3695999999999999E-2</v>
      </c>
      <c r="O50" s="170"/>
      <c r="P50" s="178" t="s">
        <v>74</v>
      </c>
      <c r="Q50" s="1"/>
      <c r="R50" s="1"/>
      <c r="S50" s="173">
        <v>7.9299999999999995E-2</v>
      </c>
      <c r="Y50" s="1"/>
    </row>
    <row r="51" spans="1:25" s="125" customFormat="1" x14ac:dyDescent="0.25">
      <c r="A51" s="1"/>
      <c r="B51" s="168" t="s">
        <v>45</v>
      </c>
      <c r="C51" s="1"/>
      <c r="D51" s="170"/>
      <c r="E51" s="178">
        <f>'[3]FFIN2 Janeiro 2018'!$E$75</f>
        <v>2.8999999999999998E-3</v>
      </c>
      <c r="F51" s="178"/>
      <c r="G51" s="168" t="s">
        <v>52</v>
      </c>
      <c r="H51" s="170">
        <f>'[3]FFIN2 Janeiro 2018'!$H$75</f>
        <v>9.8799999999999999E-2</v>
      </c>
      <c r="I51" s="1"/>
      <c r="J51" s="168" t="s">
        <v>75</v>
      </c>
      <c r="K51" s="170">
        <f>'[3]FFIN2 Janeiro 2018'!$K$75</f>
        <v>4.9485000000000001E-2</v>
      </c>
      <c r="L51" s="1"/>
      <c r="M51" s="172" t="s">
        <v>76</v>
      </c>
      <c r="N51" s="170">
        <f>'[3]FFIN2 Janeiro 2018'!$N$75</f>
        <v>5.8300000000000001E-3</v>
      </c>
      <c r="O51" s="170"/>
      <c r="P51" s="178"/>
      <c r="Q51" s="1"/>
      <c r="R51" s="1"/>
      <c r="S51" s="179">
        <f>'[1]FFINPrev Janeiro 2018'!$G$54</f>
        <v>233971071.34</v>
      </c>
      <c r="T51" s="180"/>
      <c r="Y51" s="1"/>
    </row>
    <row r="52" spans="1:25" s="125" customFormat="1" x14ac:dyDescent="0.25">
      <c r="A52" s="1"/>
      <c r="B52" s="1"/>
      <c r="C52" s="1"/>
      <c r="D52" s="1"/>
      <c r="E52" s="1"/>
      <c r="F52" s="1"/>
      <c r="G52" s="168"/>
      <c r="H52" s="170" t="s">
        <v>77</v>
      </c>
      <c r="I52" s="1"/>
      <c r="J52" s="168"/>
      <c r="K52" s="170"/>
      <c r="L52" s="1"/>
      <c r="M52" s="172"/>
      <c r="N52" s="181"/>
      <c r="O52" s="170"/>
      <c r="P52" s="181"/>
      <c r="Q52" s="1"/>
      <c r="R52" s="1"/>
      <c r="S52" s="182">
        <f>'[3]FFIN2 Janeiro 2018'!$G$70</f>
        <v>763001936.16999996</v>
      </c>
      <c r="Y52" s="1"/>
    </row>
    <row r="53" spans="1:25" s="1" customFormat="1" x14ac:dyDescent="0.25">
      <c r="D53" t="s">
        <v>78</v>
      </c>
      <c r="G53" s="183">
        <f>'[4]Consolidado Janeiro 2018'!$G$96</f>
        <v>997022105.08999991</v>
      </c>
      <c r="H53" s="170"/>
      <c r="J53" s="168"/>
      <c r="K53" s="170"/>
      <c r="M53" s="184"/>
      <c r="N53" s="181"/>
      <c r="O53" s="170"/>
      <c r="P53" s="181"/>
      <c r="S53" s="185">
        <f>S51+S52</f>
        <v>996973007.50999999</v>
      </c>
      <c r="T53" s="125"/>
      <c r="U53" s="125"/>
      <c r="V53" s="125"/>
      <c r="W53" s="125"/>
      <c r="X53" s="125"/>
    </row>
    <row r="54" spans="1:25" s="7" customFormat="1" x14ac:dyDescent="0.25">
      <c r="A54"/>
      <c r="B54"/>
      <c r="C54"/>
      <c r="D54"/>
      <c r="E54"/>
      <c r="F54"/>
      <c r="G54" s="186"/>
      <c r="H54" s="187"/>
      <c r="I54"/>
      <c r="J54" s="188"/>
      <c r="K54" s="187"/>
      <c r="L54"/>
      <c r="M54" s="189"/>
      <c r="N54" s="190"/>
      <c r="O54"/>
      <c r="P54" s="190"/>
      <c r="Q54"/>
      <c r="R54"/>
      <c r="S54" s="185"/>
      <c r="Y54"/>
    </row>
    <row r="55" spans="1:25" s="7" customFormat="1" x14ac:dyDescent="0.25">
      <c r="A55"/>
      <c r="B55" s="168"/>
      <c r="C55" s="168"/>
      <c r="D55" s="168"/>
      <c r="E55" s="169"/>
      <c r="F55" s="169"/>
      <c r="G55" s="186"/>
      <c r="H55" s="190"/>
      <c r="I55"/>
      <c r="J55"/>
      <c r="K55"/>
      <c r="L55"/>
      <c r="M55" s="189"/>
      <c r="N55" s="190"/>
      <c r="O55"/>
      <c r="P55" s="190"/>
      <c r="Q55"/>
      <c r="R55"/>
      <c r="S55"/>
      <c r="Y55"/>
    </row>
    <row r="56" spans="1:25" s="7" customFormat="1" x14ac:dyDescent="0.25">
      <c r="A56"/>
      <c r="B56" s="168"/>
      <c r="C56" s="168"/>
      <c r="D56" s="168"/>
      <c r="E56" s="170"/>
      <c r="F56" s="170"/>
      <c r="G56" s="191"/>
      <c r="H56" s="190"/>
      <c r="I56"/>
      <c r="J56"/>
      <c r="K56"/>
      <c r="L56"/>
      <c r="M56" s="189"/>
      <c r="N56" s="190"/>
      <c r="O56"/>
      <c r="P56" s="190"/>
      <c r="Q56"/>
      <c r="R56"/>
      <c r="S56"/>
      <c r="Y56"/>
    </row>
    <row r="57" spans="1:25" s="7" customFormat="1" x14ac:dyDescent="0.25">
      <c r="A57"/>
      <c r="B57" s="168"/>
      <c r="C57" s="1"/>
      <c r="D57" s="170"/>
      <c r="E57" s="170"/>
      <c r="F57" s="170"/>
      <c r="G57" s="186"/>
      <c r="H57" s="190"/>
      <c r="I57"/>
      <c r="J57"/>
      <c r="K57"/>
      <c r="L57"/>
      <c r="M57" s="189"/>
      <c r="N57" s="190"/>
      <c r="O57"/>
      <c r="P57" s="190"/>
      <c r="Q57"/>
      <c r="R57"/>
      <c r="S57"/>
      <c r="Y57"/>
    </row>
    <row r="58" spans="1:25" s="7" customFormat="1" x14ac:dyDescent="0.25">
      <c r="A58"/>
      <c r="B58" s="168"/>
      <c r="C58" s="170"/>
      <c r="D58" s="170"/>
      <c r="E58" s="176"/>
      <c r="F58" s="176"/>
      <c r="G58" s="186"/>
      <c r="H58" s="190"/>
      <c r="I58"/>
      <c r="J58"/>
      <c r="K58"/>
      <c r="L58"/>
      <c r="M58" s="189" t="s">
        <v>79</v>
      </c>
      <c r="N58" s="190"/>
      <c r="O58"/>
      <c r="P58" s="190"/>
      <c r="Q58"/>
      <c r="R58"/>
      <c r="S58"/>
      <c r="Y58"/>
    </row>
    <row r="59" spans="1:25" s="7" customFormat="1" x14ac:dyDescent="0.25">
      <c r="A59"/>
      <c r="B59" s="168" t="s">
        <v>36</v>
      </c>
      <c r="C59" s="1"/>
      <c r="D59" s="170" t="s">
        <v>80</v>
      </c>
      <c r="E59" s="192">
        <v>1.8499999999999999E-2</v>
      </c>
      <c r="F59" s="1"/>
      <c r="G59" s="186">
        <f>G4+G9+G16+G18+G28</f>
        <v>211610126.55000001</v>
      </c>
      <c r="H59" s="190">
        <f>G59/G62</f>
        <v>0.90423884200484916</v>
      </c>
      <c r="I59"/>
      <c r="J59" t="s">
        <v>36</v>
      </c>
      <c r="K59"/>
      <c r="L59"/>
      <c r="M59" s="193">
        <f>'[4]Consolidado Janeiro 2018'!$G$102</f>
        <v>807956930.27999997</v>
      </c>
      <c r="N59" s="190">
        <f>M59/M62</f>
        <v>0.81037012735747382</v>
      </c>
      <c r="O59"/>
      <c r="P59" s="190"/>
      <c r="Q59"/>
      <c r="R59"/>
      <c r="S59"/>
      <c r="Y59"/>
    </row>
    <row r="60" spans="1:25" s="7" customFormat="1" x14ac:dyDescent="0.25">
      <c r="A60"/>
      <c r="B60" t="s">
        <v>47</v>
      </c>
      <c r="C60"/>
      <c r="D60" s="170" t="s">
        <v>80</v>
      </c>
      <c r="E60" s="192">
        <v>7.1499999999999994E-2</v>
      </c>
      <c r="F60">
        <v>3.71</v>
      </c>
      <c r="G60" s="186">
        <f>G31++G32+G33+G38+G42</f>
        <v>22400042.370000001</v>
      </c>
      <c r="H60" s="190">
        <f>G60/G62</f>
        <v>9.5718426635515649E-2</v>
      </c>
      <c r="I60"/>
      <c r="J60" t="s">
        <v>47</v>
      </c>
      <c r="K60"/>
      <c r="L60"/>
      <c r="M60" s="193">
        <f>'[4]Consolidado Janeiro 2018'!$G$103</f>
        <v>181662482.19</v>
      </c>
      <c r="N60" s="190">
        <f>M60/M62</f>
        <v>0.1822050697397542</v>
      </c>
      <c r="O60"/>
      <c r="P60" s="190"/>
      <c r="Q60"/>
      <c r="R60"/>
      <c r="S60"/>
      <c r="Y60"/>
    </row>
    <row r="61" spans="1:25" s="7" customFormat="1" x14ac:dyDescent="0.25">
      <c r="A61"/>
      <c r="B61" t="s">
        <v>81</v>
      </c>
      <c r="C61"/>
      <c r="D61"/>
      <c r="E61" s="194"/>
      <c r="F61"/>
      <c r="G61" s="186">
        <f>G43</f>
        <v>10000</v>
      </c>
      <c r="H61" s="190">
        <f>G61/G62</f>
        <v>4.2731359635153961E-5</v>
      </c>
      <c r="I61"/>
      <c r="J61" t="s">
        <v>82</v>
      </c>
      <c r="K61"/>
      <c r="L61"/>
      <c r="M61" s="193">
        <f>'[4]Consolidado Janeiro 2018'!$G$104</f>
        <v>7402692.6200000001</v>
      </c>
      <c r="N61" s="190">
        <f>M61/M62</f>
        <v>7.4248029027719174E-3</v>
      </c>
      <c r="O61"/>
      <c r="P61" s="190"/>
      <c r="Q61"/>
      <c r="R61"/>
      <c r="S61"/>
      <c r="Y61"/>
    </row>
    <row r="62" spans="1:25" s="7" customFormat="1" x14ac:dyDescent="0.25">
      <c r="A62"/>
      <c r="B62"/>
      <c r="C62"/>
      <c r="D62"/>
      <c r="E62" s="192">
        <v>2.3300000000000001E-2</v>
      </c>
      <c r="F62">
        <v>3.19</v>
      </c>
      <c r="G62" s="186">
        <f>G59+G60+G61</f>
        <v>234020168.92000002</v>
      </c>
      <c r="H62" s="190">
        <f>SUM(H59:H61)</f>
        <v>1</v>
      </c>
      <c r="I62"/>
      <c r="J62" s="7" t="s">
        <v>83</v>
      </c>
      <c r="M62" s="193">
        <f>M59+M60+M61</f>
        <v>997022105.09000003</v>
      </c>
      <c r="N62" s="190">
        <f>N59+N60+N61</f>
        <v>1</v>
      </c>
      <c r="O62"/>
      <c r="P62" s="190"/>
      <c r="Q62"/>
      <c r="R62"/>
      <c r="S62"/>
      <c r="Y62"/>
    </row>
    <row r="63" spans="1:25" s="7" customFormat="1" x14ac:dyDescent="0.25">
      <c r="A63"/>
      <c r="B63"/>
      <c r="C63"/>
      <c r="D63"/>
      <c r="E63" s="195"/>
      <c r="F63"/>
      <c r="G63" s="1"/>
      <c r="H63" s="190"/>
      <c r="I63"/>
      <c r="J63"/>
      <c r="K63"/>
      <c r="L63"/>
      <c r="M63" s="189"/>
      <c r="N63" s="190"/>
      <c r="O63"/>
      <c r="P63" s="190"/>
      <c r="Q63"/>
      <c r="R63"/>
      <c r="S63"/>
      <c r="Y63"/>
    </row>
    <row r="64" spans="1:25" s="7" customFormat="1" x14ac:dyDescent="0.25">
      <c r="A64"/>
      <c r="B64"/>
      <c r="C64"/>
      <c r="D64"/>
      <c r="E64"/>
      <c r="F64"/>
      <c r="G64" s="1"/>
      <c r="H64" s="190"/>
      <c r="I64"/>
      <c r="J64"/>
      <c r="K64"/>
      <c r="L64"/>
      <c r="M64" s="189"/>
      <c r="N64" s="190"/>
      <c r="O64"/>
      <c r="P64" s="190"/>
      <c r="Q64"/>
      <c r="R64"/>
      <c r="S64"/>
      <c r="Y64"/>
    </row>
    <row r="65" spans="1:25" s="7" customFormat="1" x14ac:dyDescent="0.25">
      <c r="A65"/>
      <c r="B65"/>
      <c r="C65"/>
      <c r="D65"/>
      <c r="E65"/>
      <c r="F65"/>
      <c r="G65" s="1"/>
      <c r="H65" s="190"/>
      <c r="I65"/>
      <c r="J65"/>
      <c r="K65"/>
      <c r="L65"/>
      <c r="M65" s="189"/>
      <c r="N65" s="190"/>
      <c r="O65"/>
      <c r="P65" s="190"/>
      <c r="Q65"/>
      <c r="R65"/>
      <c r="S65"/>
      <c r="Y65"/>
    </row>
  </sheetData>
  <mergeCells count="28">
    <mergeCell ref="S5:S8"/>
    <mergeCell ref="P3:R3"/>
    <mergeCell ref="O5:O8"/>
    <mergeCell ref="P5:P8"/>
    <mergeCell ref="Q5:Q8"/>
    <mergeCell ref="R5:R8"/>
    <mergeCell ref="O10:O13"/>
    <mergeCell ref="P10:P13"/>
    <mergeCell ref="Q10:Q13"/>
    <mergeCell ref="R10:R13"/>
    <mergeCell ref="S10:S13"/>
    <mergeCell ref="O19:O23"/>
    <mergeCell ref="P19:P23"/>
    <mergeCell ref="Q19:Q23"/>
    <mergeCell ref="R19:R23"/>
    <mergeCell ref="S19:S23"/>
    <mergeCell ref="R39:R40"/>
    <mergeCell ref="S39:S40"/>
    <mergeCell ref="O44:O45"/>
    <mergeCell ref="P44:P45"/>
    <mergeCell ref="O39:O40"/>
    <mergeCell ref="P39:P40"/>
    <mergeCell ref="Q39:Q40"/>
    <mergeCell ref="O34:O36"/>
    <mergeCell ref="P34:P36"/>
    <mergeCell ref="Q34:Q36"/>
    <mergeCell ref="R34:R36"/>
    <mergeCell ref="S34:S36"/>
  </mergeCells>
  <printOptions horizontalCentered="1"/>
  <pageMargins left="0" right="0" top="0" bottom="0" header="0.19685039370078741" footer="0.3937007874015748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opLeftCell="A40" zoomScaleNormal="100" workbookViewId="0">
      <selection activeCell="S52" sqref="S52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2.85546875" style="1" bestFit="1" customWidth="1"/>
    <col min="8" max="8" width="11.5703125" style="190" customWidth="1"/>
    <col min="9" max="9" width="10.85546875" customWidth="1"/>
    <col min="10" max="10" width="7.5703125" customWidth="1"/>
    <col min="11" max="11" width="7.7109375" customWidth="1"/>
    <col min="12" max="12" width="9.140625" customWidth="1"/>
    <col min="13" max="13" width="15" style="189" bestFit="1" customWidth="1"/>
    <col min="14" max="14" width="8.140625" style="190" bestFit="1" customWidth="1"/>
    <col min="15" max="15" width="13.5703125" customWidth="1"/>
    <col min="16" max="16" width="8.42578125" style="190" customWidth="1"/>
    <col min="17" max="17" width="5.5703125" customWidth="1"/>
    <col min="18" max="18" width="6.140625" bestFit="1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170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4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326" t="s">
        <v>8</v>
      </c>
      <c r="Q2" s="20"/>
      <c r="R2" s="21"/>
      <c r="S2" s="22" t="s">
        <v>9</v>
      </c>
      <c r="T2" s="7" t="s">
        <v>10</v>
      </c>
    </row>
    <row r="3" spans="1:25" ht="15.75" thickBot="1" x14ac:dyDescent="0.3">
      <c r="A3" s="8"/>
      <c r="B3" s="23"/>
      <c r="C3" s="24"/>
      <c r="D3" s="25"/>
      <c r="E3" s="26"/>
      <c r="F3" s="27"/>
      <c r="G3" s="28" t="s">
        <v>11</v>
      </c>
      <c r="H3" s="29" t="s">
        <v>12</v>
      </c>
      <c r="I3" s="30" t="s">
        <v>13</v>
      </c>
      <c r="J3" s="31" t="s">
        <v>14</v>
      </c>
      <c r="K3" s="32" t="s">
        <v>15</v>
      </c>
      <c r="L3" s="33"/>
      <c r="M3" s="34" t="s">
        <v>16</v>
      </c>
      <c r="N3" s="35" t="s">
        <v>17</v>
      </c>
      <c r="O3" s="36"/>
      <c r="P3" s="548" t="s">
        <v>18</v>
      </c>
      <c r="Q3" s="549"/>
      <c r="R3" s="550"/>
      <c r="S3" s="37" t="s">
        <v>19</v>
      </c>
      <c r="T3" s="38"/>
      <c r="U3" s="38"/>
      <c r="V3" s="38"/>
      <c r="W3" s="38"/>
      <c r="X3" s="38"/>
      <c r="Y3" s="38"/>
    </row>
    <row r="4" spans="1:25" s="52" customFormat="1" ht="12" customHeight="1" thickBot="1" x14ac:dyDescent="0.25">
      <c r="A4" s="39"/>
      <c r="B4" s="224" t="s">
        <v>84</v>
      </c>
      <c r="C4" s="225"/>
      <c r="D4" s="226"/>
      <c r="E4" s="226"/>
      <c r="F4" s="226"/>
      <c r="G4" s="42">
        <f>SUM(G5:G8)</f>
        <v>41908304.189999998</v>
      </c>
      <c r="H4" s="43">
        <f t="shared" ref="H4:H14" si="0">G4/$G$47</f>
        <v>0.17449575489483618</v>
      </c>
      <c r="I4" s="44"/>
      <c r="J4" s="44"/>
      <c r="K4" s="44"/>
      <c r="L4" s="44"/>
      <c r="M4" s="45"/>
      <c r="N4" s="46"/>
      <c r="O4" s="47"/>
      <c r="P4" s="327"/>
      <c r="Q4" s="372"/>
      <c r="R4" s="373"/>
      <c r="S4" s="90"/>
      <c r="T4" s="51"/>
      <c r="U4" s="51"/>
      <c r="V4" s="51"/>
      <c r="W4" s="51"/>
      <c r="X4" s="51"/>
      <c r="Y4" s="51"/>
    </row>
    <row r="5" spans="1:25" s="1" customFormat="1" ht="18" x14ac:dyDescent="0.25">
      <c r="A5" s="8"/>
      <c r="B5" s="251" t="s">
        <v>121</v>
      </c>
      <c r="C5" s="54" t="s">
        <v>20</v>
      </c>
      <c r="D5" s="55" t="s">
        <v>116</v>
      </c>
      <c r="E5" s="55"/>
      <c r="F5" s="55"/>
      <c r="G5" s="289">
        <v>12920965.51</v>
      </c>
      <c r="H5" s="64">
        <f t="shared" si="0"/>
        <v>5.3799686582774897E-2</v>
      </c>
      <c r="I5" s="290">
        <v>3.5999999999999999E-3</v>
      </c>
      <c r="J5" s="247" t="s">
        <v>21</v>
      </c>
      <c r="K5" s="247"/>
      <c r="L5" s="252"/>
      <c r="M5" s="98"/>
      <c r="N5" s="253"/>
      <c r="O5" s="551" t="s">
        <v>147</v>
      </c>
      <c r="P5" s="557">
        <f>SUM(G5:G8)/G47</f>
        <v>0.17449575489483618</v>
      </c>
      <c r="Q5" s="510">
        <v>1</v>
      </c>
      <c r="R5" s="542">
        <v>0.4</v>
      </c>
      <c r="S5" s="545" t="s">
        <v>148</v>
      </c>
      <c r="T5" s="57"/>
      <c r="U5" s="57"/>
      <c r="V5" s="56"/>
      <c r="W5" s="57"/>
      <c r="X5" s="57"/>
      <c r="Y5" s="69"/>
    </row>
    <row r="6" spans="1:25" s="1" customFormat="1" ht="18.75" thickBot="1" x14ac:dyDescent="0.3">
      <c r="A6" s="8"/>
      <c r="B6" s="249" t="s">
        <v>121</v>
      </c>
      <c r="C6" s="59" t="s">
        <v>20</v>
      </c>
      <c r="D6" s="60" t="s">
        <v>117</v>
      </c>
      <c r="E6" s="65"/>
      <c r="F6" s="65"/>
      <c r="G6" s="291">
        <v>6615656.1299999999</v>
      </c>
      <c r="H6" s="120">
        <f t="shared" si="0"/>
        <v>2.754594662898481E-2</v>
      </c>
      <c r="I6" s="292">
        <v>5.7999999999999996E-3</v>
      </c>
      <c r="J6" s="241" t="s">
        <v>22</v>
      </c>
      <c r="K6" s="242"/>
      <c r="L6" s="243"/>
      <c r="M6" s="325">
        <v>2.725E-3</v>
      </c>
      <c r="N6" s="63"/>
      <c r="O6" s="552"/>
      <c r="P6" s="558"/>
      <c r="Q6" s="511"/>
      <c r="R6" s="543"/>
      <c r="S6" s="546"/>
      <c r="T6" s="57"/>
      <c r="U6" s="57"/>
      <c r="V6" s="56"/>
      <c r="W6" s="57"/>
      <c r="X6" s="57"/>
      <c r="Y6" s="69"/>
    </row>
    <row r="7" spans="1:25" s="1" customFormat="1" ht="18.75" thickBot="1" x14ac:dyDescent="0.3">
      <c r="A7" s="8"/>
      <c r="B7" s="249" t="s">
        <v>121</v>
      </c>
      <c r="C7" s="59" t="s">
        <v>20</v>
      </c>
      <c r="D7" s="60" t="s">
        <v>118</v>
      </c>
      <c r="E7" s="65"/>
      <c r="F7" s="65"/>
      <c r="G7" s="293">
        <v>11319486.789999999</v>
      </c>
      <c r="H7" s="61">
        <f t="shared" si="0"/>
        <v>4.7131527524668752E-2</v>
      </c>
      <c r="I7" s="62">
        <v>-2.6100000000000002E-2</v>
      </c>
      <c r="J7" s="244" t="s">
        <v>119</v>
      </c>
      <c r="K7" s="242"/>
      <c r="L7" s="248"/>
      <c r="M7" s="98"/>
      <c r="N7" s="63"/>
      <c r="O7" s="552"/>
      <c r="P7" s="558"/>
      <c r="Q7" s="511"/>
      <c r="R7" s="543"/>
      <c r="S7" s="546"/>
      <c r="T7" s="57"/>
      <c r="U7" s="57"/>
      <c r="V7" s="56"/>
      <c r="W7" s="57"/>
      <c r="X7" s="57"/>
      <c r="Y7" s="69"/>
    </row>
    <row r="8" spans="1:25" s="1" customFormat="1" ht="18.75" thickBot="1" x14ac:dyDescent="0.3">
      <c r="A8" s="8"/>
      <c r="B8" s="250" t="s">
        <v>122</v>
      </c>
      <c r="C8" s="59" t="s">
        <v>20</v>
      </c>
      <c r="D8" s="67" t="s">
        <v>120</v>
      </c>
      <c r="E8" s="67"/>
      <c r="F8" s="67"/>
      <c r="G8" s="294">
        <v>11052195.76</v>
      </c>
      <c r="H8" s="121">
        <f t="shared" si="0"/>
        <v>4.601859415840772E-2</v>
      </c>
      <c r="I8" s="295">
        <v>1.4E-3</v>
      </c>
      <c r="J8" s="245" t="s">
        <v>23</v>
      </c>
      <c r="K8" s="245"/>
      <c r="L8" s="246"/>
      <c r="M8" s="106"/>
      <c r="N8" s="63"/>
      <c r="O8" s="553"/>
      <c r="P8" s="559"/>
      <c r="Q8" s="512"/>
      <c r="R8" s="544"/>
      <c r="S8" s="547"/>
      <c r="T8" s="57"/>
      <c r="U8" s="57"/>
      <c r="V8" s="56"/>
      <c r="W8" s="57"/>
      <c r="X8" s="57"/>
      <c r="Y8" s="69"/>
    </row>
    <row r="9" spans="1:25" s="52" customFormat="1" ht="16.5" thickBot="1" x14ac:dyDescent="0.25">
      <c r="A9" s="39"/>
      <c r="B9" s="224" t="s">
        <v>85</v>
      </c>
      <c r="C9" s="225"/>
      <c r="D9" s="226"/>
      <c r="E9" s="226"/>
      <c r="F9" s="226"/>
      <c r="G9" s="42">
        <f>SUM(G10:G14)</f>
        <v>136062679.06</v>
      </c>
      <c r="H9" s="83">
        <f t="shared" si="0"/>
        <v>0.56653115306092083</v>
      </c>
      <c r="I9" s="70"/>
      <c r="J9" s="71"/>
      <c r="K9" s="44"/>
      <c r="L9" s="44"/>
      <c r="M9" s="87"/>
      <c r="N9" s="254"/>
      <c r="O9" s="47"/>
      <c r="P9" s="374"/>
      <c r="Q9" s="368"/>
      <c r="R9" s="375"/>
      <c r="S9" s="371"/>
      <c r="T9" s="51"/>
      <c r="U9" s="51"/>
      <c r="V9" s="51"/>
      <c r="W9" s="51"/>
      <c r="X9" s="51"/>
      <c r="Y9" s="51"/>
    </row>
    <row r="10" spans="1:25" s="52" customFormat="1" ht="18" x14ac:dyDescent="0.25">
      <c r="A10" s="39"/>
      <c r="B10" s="388" t="s">
        <v>172</v>
      </c>
      <c r="C10" s="75" t="s">
        <v>24</v>
      </c>
      <c r="D10" s="389" t="s">
        <v>173</v>
      </c>
      <c r="E10" s="390" t="s">
        <v>25</v>
      </c>
      <c r="F10" s="391" t="s">
        <v>26</v>
      </c>
      <c r="G10" s="402">
        <v>5011371.2699999996</v>
      </c>
      <c r="H10" s="396">
        <f t="shared" si="0"/>
        <v>2.0866103501883164E-2</v>
      </c>
      <c r="I10" s="392">
        <v>5.1999999999999998E-3</v>
      </c>
      <c r="J10" s="398"/>
      <c r="K10" s="393"/>
      <c r="L10" s="394" t="s">
        <v>27</v>
      </c>
      <c r="M10" s="403">
        <v>1327754160.5799999</v>
      </c>
      <c r="N10" s="395">
        <f t="shared" ref="N10:N11" si="1">G10/M10</f>
        <v>3.7743216468709038E-3</v>
      </c>
      <c r="O10" s="536" t="s">
        <v>28</v>
      </c>
      <c r="P10" s="507">
        <f>SUM(G11:G14)/G47</f>
        <v>0.54566504955903772</v>
      </c>
      <c r="Q10" s="542">
        <v>1</v>
      </c>
      <c r="R10" s="513">
        <v>0.5</v>
      </c>
      <c r="S10" s="533" t="s">
        <v>146</v>
      </c>
      <c r="T10" s="51"/>
      <c r="U10" s="51"/>
      <c r="V10" s="51"/>
      <c r="W10" s="51"/>
      <c r="X10" s="51"/>
      <c r="Y10" s="51"/>
    </row>
    <row r="11" spans="1:25" s="1" customFormat="1" ht="15.75" customHeight="1" thickBot="1" x14ac:dyDescent="0.3">
      <c r="A11" s="8"/>
      <c r="B11" s="76" t="s">
        <v>123</v>
      </c>
      <c r="C11" s="77" t="s">
        <v>29</v>
      </c>
      <c r="D11" s="55" t="s">
        <v>30</v>
      </c>
      <c r="E11" s="78" t="s">
        <v>25</v>
      </c>
      <c r="F11" s="79" t="s">
        <v>26</v>
      </c>
      <c r="G11" s="383">
        <v>17725853.77</v>
      </c>
      <c r="H11" s="64">
        <f t="shared" si="0"/>
        <v>7.3806046189043559E-2</v>
      </c>
      <c r="I11" s="378">
        <v>1.1029000000000001E-2</v>
      </c>
      <c r="J11" s="80"/>
      <c r="K11" s="255"/>
      <c r="L11" s="123" t="s">
        <v>31</v>
      </c>
      <c r="M11" s="408">
        <v>5033878676.0100002</v>
      </c>
      <c r="N11" s="400">
        <f t="shared" si="1"/>
        <v>3.5213112811948084E-3</v>
      </c>
      <c r="O11" s="537"/>
      <c r="P11" s="508"/>
      <c r="Q11" s="543"/>
      <c r="R11" s="514"/>
      <c r="S11" s="534"/>
      <c r="T11" s="57"/>
      <c r="U11" s="57"/>
      <c r="V11" s="56"/>
      <c r="W11" s="57"/>
      <c r="X11" s="57"/>
      <c r="Y11" s="69"/>
    </row>
    <row r="12" spans="1:25" s="1" customFormat="1" ht="15.75" customHeight="1" thickBot="1" x14ac:dyDescent="0.3">
      <c r="A12" s="8"/>
      <c r="B12" s="76" t="s">
        <v>140</v>
      </c>
      <c r="C12" s="77" t="s">
        <v>29</v>
      </c>
      <c r="D12" s="55" t="s">
        <v>37</v>
      </c>
      <c r="E12" s="79" t="s">
        <v>25</v>
      </c>
      <c r="F12" s="117" t="s">
        <v>26</v>
      </c>
      <c r="G12" s="383">
        <v>19755709.539999999</v>
      </c>
      <c r="H12" s="97">
        <f t="shared" si="0"/>
        <v>8.2257860734150048E-2</v>
      </c>
      <c r="I12" s="378">
        <v>5.2009999999999999E-3</v>
      </c>
      <c r="J12" s="80"/>
      <c r="K12" s="255"/>
      <c r="L12" s="259" t="s">
        <v>34</v>
      </c>
      <c r="M12" s="408">
        <v>2178485001.4400001</v>
      </c>
      <c r="N12" s="400">
        <f>G12/M12</f>
        <v>9.0685543058323936E-3</v>
      </c>
      <c r="O12" s="537"/>
      <c r="P12" s="508"/>
      <c r="Q12" s="543"/>
      <c r="R12" s="514"/>
      <c r="S12" s="534"/>
      <c r="T12" s="57"/>
      <c r="U12" s="57"/>
      <c r="V12" s="56"/>
      <c r="W12" s="57"/>
      <c r="X12" s="57"/>
      <c r="Y12" s="69"/>
    </row>
    <row r="13" spans="1:25" s="1" customFormat="1" ht="18.75" thickBot="1" x14ac:dyDescent="0.3">
      <c r="A13" s="8"/>
      <c r="B13" s="84" t="s">
        <v>124</v>
      </c>
      <c r="C13" s="67" t="s">
        <v>33</v>
      </c>
      <c r="D13" s="60" t="s">
        <v>35</v>
      </c>
      <c r="E13" s="82" t="s">
        <v>25</v>
      </c>
      <c r="F13" s="82" t="s">
        <v>25</v>
      </c>
      <c r="G13" s="411">
        <v>51555735.890000001</v>
      </c>
      <c r="H13" s="64">
        <f t="shared" si="0"/>
        <v>0.21466526091101062</v>
      </c>
      <c r="I13" s="412">
        <v>1.1694E-2</v>
      </c>
      <c r="J13" s="257"/>
      <c r="K13" s="258"/>
      <c r="L13" s="259" t="s">
        <v>34</v>
      </c>
      <c r="M13" s="409">
        <v>2813285709.3299999</v>
      </c>
      <c r="N13" s="399">
        <f>G13/M13</f>
        <v>1.8325808757717072E-2</v>
      </c>
      <c r="O13" s="537"/>
      <c r="P13" s="508"/>
      <c r="Q13" s="543"/>
      <c r="R13" s="514"/>
      <c r="S13" s="534"/>
      <c r="T13" s="57"/>
      <c r="U13" s="57"/>
      <c r="V13" s="56"/>
      <c r="W13" s="57"/>
      <c r="X13" s="57"/>
      <c r="Y13" s="69"/>
    </row>
    <row r="14" spans="1:25" s="1" customFormat="1" ht="18.75" thickBot="1" x14ac:dyDescent="0.3">
      <c r="A14" s="8">
        <v>12</v>
      </c>
      <c r="B14" s="53" t="s">
        <v>124</v>
      </c>
      <c r="C14" s="118" t="s">
        <v>33</v>
      </c>
      <c r="D14" s="65" t="s">
        <v>125</v>
      </c>
      <c r="E14" s="82" t="s">
        <v>25</v>
      </c>
      <c r="F14" s="82" t="s">
        <v>25</v>
      </c>
      <c r="G14" s="411">
        <v>42014008.590000004</v>
      </c>
      <c r="H14" s="397">
        <f t="shared" si="0"/>
        <v>0.17493588172483346</v>
      </c>
      <c r="I14" s="412">
        <v>5.3179999999999998E-3</v>
      </c>
      <c r="J14" s="86"/>
      <c r="K14" s="261"/>
      <c r="L14" s="259" t="s">
        <v>34</v>
      </c>
      <c r="M14" s="410">
        <v>6991874867.3299999</v>
      </c>
      <c r="N14" s="399">
        <f>G14/M14</f>
        <v>6.0089760453684964E-3</v>
      </c>
      <c r="O14" s="538"/>
      <c r="P14" s="509"/>
      <c r="Q14" s="544"/>
      <c r="R14" s="515"/>
      <c r="S14" s="535"/>
      <c r="T14" s="57"/>
      <c r="U14" s="57"/>
      <c r="V14" s="56"/>
      <c r="W14" s="57"/>
      <c r="X14" s="57"/>
      <c r="Y14" s="69"/>
    </row>
    <row r="15" spans="1:25" s="1" customFormat="1" ht="16.5" thickBot="1" x14ac:dyDescent="0.3">
      <c r="A15" s="113"/>
      <c r="B15" s="227" t="s">
        <v>91</v>
      </c>
      <c r="C15" s="228"/>
      <c r="D15" s="229"/>
      <c r="E15" s="230"/>
      <c r="F15" s="230"/>
      <c r="G15" s="214"/>
      <c r="H15" s="43"/>
      <c r="I15" s="43"/>
      <c r="J15" s="43"/>
      <c r="K15" s="206"/>
      <c r="L15" s="210"/>
      <c r="M15" s="202"/>
      <c r="N15" s="115"/>
      <c r="O15" s="203" t="s">
        <v>28</v>
      </c>
      <c r="P15" s="329">
        <v>0</v>
      </c>
      <c r="Q15" s="108">
        <v>1</v>
      </c>
      <c r="R15" s="74">
        <v>0</v>
      </c>
      <c r="S15" s="370" t="s">
        <v>86</v>
      </c>
      <c r="T15" s="57"/>
      <c r="U15" s="57"/>
      <c r="V15" s="56"/>
      <c r="W15" s="57"/>
      <c r="X15" s="57"/>
      <c r="Y15" s="69"/>
    </row>
    <row r="16" spans="1:25" s="1" customFormat="1" ht="16.5" thickBot="1" x14ac:dyDescent="0.3">
      <c r="A16" s="113"/>
      <c r="B16" s="227" t="s">
        <v>87</v>
      </c>
      <c r="C16" s="228"/>
      <c r="D16" s="231"/>
      <c r="E16" s="232"/>
      <c r="F16" s="232"/>
      <c r="G16" s="215"/>
      <c r="H16" s="43"/>
      <c r="I16" s="83"/>
      <c r="J16" s="83"/>
      <c r="K16" s="119"/>
      <c r="L16" s="81"/>
      <c r="M16" s="208"/>
      <c r="N16" s="312"/>
      <c r="O16" s="209" t="s">
        <v>28</v>
      </c>
      <c r="P16" s="330">
        <v>0</v>
      </c>
      <c r="Q16" s="107">
        <v>0.05</v>
      </c>
      <c r="R16" s="108">
        <v>0</v>
      </c>
      <c r="S16" s="109" t="s">
        <v>88</v>
      </c>
      <c r="T16" s="57"/>
      <c r="U16" s="57"/>
      <c r="V16" s="56"/>
      <c r="W16" s="57"/>
      <c r="X16" s="57"/>
      <c r="Y16" s="69"/>
    </row>
    <row r="17" spans="1:25" s="52" customFormat="1" ht="16.5" thickBot="1" x14ac:dyDescent="0.25">
      <c r="A17" s="39"/>
      <c r="B17" s="224" t="s">
        <v>89</v>
      </c>
      <c r="C17" s="225"/>
      <c r="D17" s="226"/>
      <c r="E17" s="226"/>
      <c r="F17" s="226"/>
      <c r="G17" s="42"/>
      <c r="H17" s="43">
        <f>G17/$G$47</f>
        <v>0</v>
      </c>
      <c r="I17" s="70"/>
      <c r="J17" s="44"/>
      <c r="K17" s="44"/>
      <c r="L17" s="211"/>
      <c r="M17" s="87"/>
      <c r="N17" s="88"/>
      <c r="O17" s="94"/>
      <c r="P17" s="331">
        <v>0</v>
      </c>
      <c r="Q17" s="372"/>
      <c r="R17" s="213"/>
      <c r="S17" s="90"/>
      <c r="T17" s="51"/>
      <c r="U17" s="51"/>
      <c r="V17" s="51"/>
      <c r="W17" s="51"/>
      <c r="X17" s="51"/>
      <c r="Y17" s="51"/>
    </row>
    <row r="18" spans="1:25" s="1" customFormat="1" ht="16.5" thickBot="1" x14ac:dyDescent="0.3">
      <c r="A18" s="8"/>
      <c r="B18" s="233" t="s">
        <v>96</v>
      </c>
      <c r="C18" s="228"/>
      <c r="D18" s="234"/>
      <c r="E18" s="230"/>
      <c r="F18" s="232"/>
      <c r="G18" s="200"/>
      <c r="H18" s="218"/>
      <c r="I18" s="124"/>
      <c r="J18" s="124"/>
      <c r="K18" s="219"/>
      <c r="L18" s="317"/>
      <c r="M18" s="220"/>
      <c r="N18" s="43"/>
      <c r="O18" s="212" t="s">
        <v>90</v>
      </c>
      <c r="P18" s="330">
        <v>0</v>
      </c>
      <c r="Q18" s="108">
        <v>0.6</v>
      </c>
      <c r="R18" s="108">
        <v>0</v>
      </c>
      <c r="S18" s="207" t="s">
        <v>95</v>
      </c>
      <c r="T18" s="93"/>
      <c r="U18" s="57"/>
      <c r="V18" s="56"/>
      <c r="W18" s="56"/>
      <c r="X18" s="56"/>
      <c r="Y18" s="58"/>
    </row>
    <row r="19" spans="1:25" s="52" customFormat="1" ht="16.5" thickBot="1" x14ac:dyDescent="0.25">
      <c r="A19" s="39"/>
      <c r="B19" s="224" t="s">
        <v>92</v>
      </c>
      <c r="C19" s="225"/>
      <c r="D19" s="226"/>
      <c r="E19" s="226"/>
      <c r="F19" s="226"/>
      <c r="G19" s="221">
        <f>SUM(G20:G24)</f>
        <v>39740714.259999998</v>
      </c>
      <c r="H19" s="124">
        <f t="shared" ref="H19:H24" si="2">G19/$G$47</f>
        <v>0.16547044956577808</v>
      </c>
      <c r="I19" s="217"/>
      <c r="J19" s="44"/>
      <c r="K19" s="102"/>
      <c r="L19" s="44"/>
      <c r="M19" s="87"/>
      <c r="N19" s="88"/>
      <c r="O19" s="41"/>
      <c r="P19" s="332"/>
      <c r="Q19" s="372"/>
      <c r="R19" s="373"/>
      <c r="S19" s="94"/>
      <c r="T19" s="51"/>
      <c r="U19" s="51"/>
      <c r="V19" s="51"/>
      <c r="W19" s="51"/>
      <c r="X19" s="51"/>
      <c r="Y19" s="51"/>
    </row>
    <row r="20" spans="1:25" s="1" customFormat="1" ht="18" x14ac:dyDescent="0.25">
      <c r="A20" s="8"/>
      <c r="B20" s="53" t="s">
        <v>141</v>
      </c>
      <c r="C20" s="91" t="s">
        <v>40</v>
      </c>
      <c r="D20" s="60" t="s">
        <v>41</v>
      </c>
      <c r="E20" s="85" t="s">
        <v>42</v>
      </c>
      <c r="F20" s="85" t="s">
        <v>42</v>
      </c>
      <c r="G20" s="404">
        <v>23849.18</v>
      </c>
      <c r="H20" s="95">
        <f t="shared" si="2"/>
        <v>9.9302053570467539E-5</v>
      </c>
      <c r="I20" s="405">
        <v>4.5999999999999999E-3</v>
      </c>
      <c r="J20" s="277"/>
      <c r="K20" s="269"/>
      <c r="L20" s="259" t="s">
        <v>43</v>
      </c>
      <c r="M20" s="406">
        <v>6893035004.8800001</v>
      </c>
      <c r="N20" s="399">
        <f>G20/M20</f>
        <v>3.459895384705824E-6</v>
      </c>
      <c r="O20" s="504" t="s">
        <v>36</v>
      </c>
      <c r="P20" s="527">
        <f>SUM(G20:G24)/G47</f>
        <v>0.16547044956577808</v>
      </c>
      <c r="Q20" s="530">
        <v>0.4</v>
      </c>
      <c r="R20" s="530">
        <v>0.3</v>
      </c>
      <c r="S20" s="533" t="s">
        <v>149</v>
      </c>
      <c r="T20" s="57"/>
      <c r="U20" s="57"/>
      <c r="V20" s="56"/>
      <c r="W20" s="57"/>
      <c r="X20" s="57"/>
      <c r="Y20" s="69"/>
    </row>
    <row r="21" spans="1:25" s="1" customFormat="1" ht="18" x14ac:dyDescent="0.25">
      <c r="A21" s="8"/>
      <c r="B21" s="53" t="s">
        <v>126</v>
      </c>
      <c r="C21" s="91" t="s">
        <v>38</v>
      </c>
      <c r="D21" s="92" t="s">
        <v>39</v>
      </c>
      <c r="E21" s="78" t="s">
        <v>25</v>
      </c>
      <c r="F21" s="78" t="s">
        <v>26</v>
      </c>
      <c r="G21" s="383">
        <v>8633146.1400000006</v>
      </c>
      <c r="H21" s="97">
        <f t="shared" si="2"/>
        <v>3.594627322515722E-2</v>
      </c>
      <c r="I21" s="378">
        <v>5.7000000000000002E-3</v>
      </c>
      <c r="J21" s="80"/>
      <c r="K21" s="271"/>
      <c r="L21" s="272" t="s">
        <v>34</v>
      </c>
      <c r="M21" s="384">
        <v>445176324.69</v>
      </c>
      <c r="N21" s="400">
        <f>G21/M21</f>
        <v>1.9392644355046781E-2</v>
      </c>
      <c r="O21" s="505"/>
      <c r="P21" s="528"/>
      <c r="Q21" s="531"/>
      <c r="R21" s="531"/>
      <c r="S21" s="534"/>
      <c r="T21" s="57"/>
      <c r="U21" s="57"/>
      <c r="V21" s="56"/>
      <c r="W21" s="57"/>
      <c r="X21" s="57"/>
      <c r="Y21" s="69"/>
    </row>
    <row r="22" spans="1:25" s="1" customFormat="1" ht="18.75" thickBot="1" x14ac:dyDescent="0.3">
      <c r="A22" s="8"/>
      <c r="B22" s="53" t="s">
        <v>127</v>
      </c>
      <c r="C22" s="118" t="s">
        <v>128</v>
      </c>
      <c r="D22" s="65" t="s">
        <v>129</v>
      </c>
      <c r="E22" s="79" t="s">
        <v>25</v>
      </c>
      <c r="F22" s="79" t="s">
        <v>25</v>
      </c>
      <c r="G22" s="411">
        <v>21533342.77</v>
      </c>
      <c r="H22" s="97">
        <f t="shared" si="2"/>
        <v>8.9659483357405992E-2</v>
      </c>
      <c r="I22" s="412">
        <v>5.9369999999999996E-3</v>
      </c>
      <c r="J22" s="367"/>
      <c r="K22" s="261"/>
      <c r="L22" s="259" t="s">
        <v>27</v>
      </c>
      <c r="M22" s="384">
        <v>2552268155.29</v>
      </c>
      <c r="N22" s="400">
        <f>G22/M22</f>
        <v>8.4369437143070446E-3</v>
      </c>
      <c r="O22" s="505"/>
      <c r="P22" s="528"/>
      <c r="Q22" s="531"/>
      <c r="R22" s="531"/>
      <c r="S22" s="534"/>
      <c r="T22" s="57"/>
      <c r="U22" s="57"/>
      <c r="V22" s="56"/>
      <c r="W22" s="57"/>
      <c r="X22" s="57"/>
      <c r="Y22" s="69"/>
    </row>
    <row r="23" spans="1:25" s="1" customFormat="1" ht="18.75" thickBot="1" x14ac:dyDescent="0.3">
      <c r="A23" s="8"/>
      <c r="B23" s="53" t="s">
        <v>130</v>
      </c>
      <c r="C23" s="75" t="s">
        <v>24</v>
      </c>
      <c r="D23" s="60" t="s">
        <v>44</v>
      </c>
      <c r="E23" s="85" t="s">
        <v>25</v>
      </c>
      <c r="F23" s="85" t="s">
        <v>26</v>
      </c>
      <c r="G23" s="377">
        <v>8484543.2100000009</v>
      </c>
      <c r="H23" s="95">
        <f t="shared" si="2"/>
        <v>3.5327527586288786E-2</v>
      </c>
      <c r="I23" s="416">
        <v>7.4000000000000003E-3</v>
      </c>
      <c r="J23" s="80"/>
      <c r="K23" s="258"/>
      <c r="L23" s="259" t="s">
        <v>45</v>
      </c>
      <c r="M23" s="414">
        <v>1494460540</v>
      </c>
      <c r="N23" s="399">
        <f t="shared" ref="N23:N24" si="3">G23/M23</f>
        <v>5.6773283622463533E-3</v>
      </c>
      <c r="O23" s="505"/>
      <c r="P23" s="528"/>
      <c r="Q23" s="531"/>
      <c r="R23" s="531"/>
      <c r="S23" s="534"/>
      <c r="T23" s="57"/>
      <c r="U23" s="57"/>
      <c r="V23" s="56"/>
      <c r="W23" s="57"/>
      <c r="X23" s="57"/>
      <c r="Y23" s="69"/>
    </row>
    <row r="24" spans="1:25" s="1" customFormat="1" ht="18.75" thickBot="1" x14ac:dyDescent="0.3">
      <c r="A24" s="8">
        <v>23</v>
      </c>
      <c r="B24" s="53" t="s">
        <v>131</v>
      </c>
      <c r="C24" s="75" t="s">
        <v>132</v>
      </c>
      <c r="D24" s="60" t="s">
        <v>133</v>
      </c>
      <c r="E24" s="85" t="s">
        <v>25</v>
      </c>
      <c r="F24" s="85" t="s">
        <v>25</v>
      </c>
      <c r="G24" s="404">
        <v>1065832.96</v>
      </c>
      <c r="H24" s="95">
        <f t="shared" si="2"/>
        <v>4.4378633433556202E-3</v>
      </c>
      <c r="I24" s="412">
        <v>4.4999999999999997E-3</v>
      </c>
      <c r="J24" s="86"/>
      <c r="K24" s="258"/>
      <c r="L24" s="315" t="s">
        <v>43</v>
      </c>
      <c r="M24" s="415">
        <v>10845052436</v>
      </c>
      <c r="N24" s="401">
        <f t="shared" si="3"/>
        <v>9.8278267098274443E-5</v>
      </c>
      <c r="O24" s="506"/>
      <c r="P24" s="529"/>
      <c r="Q24" s="532"/>
      <c r="R24" s="532"/>
      <c r="S24" s="535"/>
      <c r="T24" s="57"/>
      <c r="U24" s="57"/>
      <c r="V24" s="56"/>
      <c r="W24" s="57"/>
      <c r="X24" s="57"/>
      <c r="Y24" s="69"/>
    </row>
    <row r="25" spans="1:25" s="1" customFormat="1" ht="16.5" thickBot="1" x14ac:dyDescent="0.3">
      <c r="A25" s="8"/>
      <c r="B25" s="233" t="s">
        <v>93</v>
      </c>
      <c r="C25" s="228"/>
      <c r="D25" s="231"/>
      <c r="E25" s="235"/>
      <c r="F25" s="235"/>
      <c r="G25" s="214"/>
      <c r="H25" s="218"/>
      <c r="I25" s="43"/>
      <c r="J25" s="43"/>
      <c r="K25" s="206"/>
      <c r="L25" s="222"/>
      <c r="M25" s="204"/>
      <c r="N25" s="115"/>
      <c r="O25" s="212" t="s">
        <v>36</v>
      </c>
      <c r="P25" s="330">
        <v>0</v>
      </c>
      <c r="Q25" s="107">
        <v>0.4</v>
      </c>
      <c r="R25" s="108">
        <v>0</v>
      </c>
      <c r="S25" s="109" t="s">
        <v>94</v>
      </c>
      <c r="T25" s="57"/>
      <c r="U25" s="57"/>
      <c r="V25" s="56"/>
      <c r="W25" s="57"/>
      <c r="X25" s="57"/>
      <c r="Y25" s="69"/>
    </row>
    <row r="26" spans="1:25" s="1" customFormat="1" ht="16.5" thickBot="1" x14ac:dyDescent="0.3">
      <c r="A26" s="8"/>
      <c r="B26" s="233" t="s">
        <v>97</v>
      </c>
      <c r="C26" s="228"/>
      <c r="D26" s="229"/>
      <c r="E26" s="235"/>
      <c r="F26" s="235"/>
      <c r="G26" s="214"/>
      <c r="H26" s="124"/>
      <c r="I26" s="43"/>
      <c r="J26" s="124"/>
      <c r="K26" s="100"/>
      <c r="L26" s="222"/>
      <c r="M26" s="101"/>
      <c r="N26" s="322"/>
      <c r="O26" s="275" t="s">
        <v>36</v>
      </c>
      <c r="P26" s="330">
        <v>0</v>
      </c>
      <c r="Q26" s="108">
        <v>0.2</v>
      </c>
      <c r="R26" s="74">
        <v>0</v>
      </c>
      <c r="S26" s="109" t="s">
        <v>98</v>
      </c>
      <c r="T26" s="57"/>
      <c r="U26" s="57"/>
      <c r="V26" s="56"/>
      <c r="W26" s="57"/>
      <c r="X26" s="57"/>
      <c r="Y26" s="69"/>
    </row>
    <row r="27" spans="1:25" s="1" customFormat="1" ht="16.5" thickBot="1" x14ac:dyDescent="0.3">
      <c r="A27" s="8"/>
      <c r="B27" s="233" t="s">
        <v>99</v>
      </c>
      <c r="C27" s="228"/>
      <c r="D27" s="229"/>
      <c r="E27" s="235"/>
      <c r="F27" s="235"/>
      <c r="G27" s="205"/>
      <c r="H27" s="124"/>
      <c r="I27" s="43"/>
      <c r="J27" s="124"/>
      <c r="K27" s="100"/>
      <c r="L27" s="222"/>
      <c r="M27" s="101"/>
      <c r="N27" s="322"/>
      <c r="O27" s="201" t="s">
        <v>36</v>
      </c>
      <c r="P27" s="369">
        <v>0</v>
      </c>
      <c r="Q27" s="73">
        <v>0.15</v>
      </c>
      <c r="R27" s="74">
        <v>0</v>
      </c>
      <c r="S27" s="109" t="s">
        <v>101</v>
      </c>
      <c r="T27" s="57"/>
      <c r="U27" s="57"/>
      <c r="V27" s="56"/>
      <c r="W27" s="57"/>
      <c r="X27" s="57"/>
      <c r="Y27" s="69"/>
    </row>
    <row r="28" spans="1:25" s="1" customFormat="1" ht="16.5" thickBot="1" x14ac:dyDescent="0.3">
      <c r="A28" s="8"/>
      <c r="B28" s="233" t="s">
        <v>100</v>
      </c>
      <c r="C28" s="228"/>
      <c r="D28" s="229"/>
      <c r="E28" s="235"/>
      <c r="F28" s="235"/>
      <c r="G28" s="205"/>
      <c r="H28" s="124"/>
      <c r="I28" s="43"/>
      <c r="J28" s="124"/>
      <c r="K28" s="100"/>
      <c r="L28" s="222"/>
      <c r="M28" s="101"/>
      <c r="N28" s="322"/>
      <c r="O28" s="201" t="s">
        <v>36</v>
      </c>
      <c r="P28" s="369">
        <v>0</v>
      </c>
      <c r="Q28" s="73">
        <v>0.15</v>
      </c>
      <c r="R28" s="74">
        <v>0</v>
      </c>
      <c r="S28" s="109" t="s">
        <v>102</v>
      </c>
      <c r="T28" s="57"/>
      <c r="U28" s="57"/>
      <c r="V28" s="56"/>
      <c r="W28" s="57"/>
      <c r="X28" s="57"/>
      <c r="Y28" s="69"/>
    </row>
    <row r="29" spans="1:25" s="52" customFormat="1" ht="16.5" thickBot="1" x14ac:dyDescent="0.25">
      <c r="A29" s="39"/>
      <c r="B29" s="224" t="s">
        <v>103</v>
      </c>
      <c r="C29" s="225"/>
      <c r="D29" s="226"/>
      <c r="E29" s="226"/>
      <c r="F29" s="226"/>
      <c r="G29" s="42"/>
      <c r="H29" s="43">
        <f>G29/$G$47</f>
        <v>0</v>
      </c>
      <c r="I29" s="70"/>
      <c r="J29" s="44"/>
      <c r="K29" s="44"/>
      <c r="L29" s="102"/>
      <c r="M29" s="103"/>
      <c r="N29" s="323"/>
      <c r="O29" s="104"/>
      <c r="P29" s="334">
        <v>0</v>
      </c>
      <c r="Q29" s="372"/>
      <c r="R29" s="373"/>
      <c r="S29" s="90"/>
      <c r="T29" s="51"/>
      <c r="U29" s="51"/>
      <c r="V29" s="51"/>
      <c r="W29" s="51"/>
      <c r="X29" s="51"/>
      <c r="Y29" s="51"/>
    </row>
    <row r="30" spans="1:25" s="1" customFormat="1" ht="16.5" thickBot="1" x14ac:dyDescent="0.3">
      <c r="A30" s="8"/>
      <c r="B30" s="236" t="s">
        <v>104</v>
      </c>
      <c r="C30" s="228"/>
      <c r="D30" s="237"/>
      <c r="E30" s="235"/>
      <c r="F30" s="235"/>
      <c r="G30" s="199"/>
      <c r="H30" s="124"/>
      <c r="I30" s="223"/>
      <c r="J30" s="124"/>
      <c r="K30" s="100"/>
      <c r="L30" s="222"/>
      <c r="M30" s="101"/>
      <c r="N30" s="115"/>
      <c r="O30" s="217"/>
      <c r="P30" s="330">
        <v>0</v>
      </c>
      <c r="Q30" s="107">
        <v>0.05</v>
      </c>
      <c r="R30" s="108">
        <v>0.01</v>
      </c>
      <c r="S30" s="370" t="s">
        <v>106</v>
      </c>
      <c r="T30" s="57"/>
      <c r="U30" s="57"/>
      <c r="V30" s="56"/>
      <c r="W30" s="57"/>
      <c r="X30" s="56"/>
      <c r="Y30" s="58"/>
    </row>
    <row r="31" spans="1:25" s="1" customFormat="1" ht="16.5" thickBot="1" x14ac:dyDescent="0.3">
      <c r="A31" s="8"/>
      <c r="B31" s="236" t="s">
        <v>105</v>
      </c>
      <c r="C31" s="228"/>
      <c r="D31" s="237"/>
      <c r="E31" s="235"/>
      <c r="F31" s="235"/>
      <c r="G31" s="199"/>
      <c r="H31" s="124"/>
      <c r="I31" s="223"/>
      <c r="J31" s="124"/>
      <c r="K31" s="100"/>
      <c r="L31" s="222"/>
      <c r="M31" s="101"/>
      <c r="N31" s="322"/>
      <c r="O31" s="217"/>
      <c r="P31" s="330">
        <v>0</v>
      </c>
      <c r="Q31" s="107">
        <v>0.05</v>
      </c>
      <c r="R31" s="108">
        <v>0</v>
      </c>
      <c r="S31" s="370" t="s">
        <v>107</v>
      </c>
      <c r="T31" s="57"/>
      <c r="U31" s="57"/>
      <c r="V31" s="56"/>
      <c r="W31" s="57"/>
      <c r="X31" s="56"/>
      <c r="Y31" s="58"/>
    </row>
    <row r="32" spans="1:25" s="52" customFormat="1" ht="16.5" thickBot="1" x14ac:dyDescent="0.25">
      <c r="A32" s="39"/>
      <c r="B32" s="224" t="s">
        <v>108</v>
      </c>
      <c r="C32" s="225"/>
      <c r="D32" s="226"/>
      <c r="E32" s="226"/>
      <c r="F32" s="226"/>
      <c r="G32" s="42"/>
      <c r="H32" s="43">
        <f>G32/$G$47</f>
        <v>0</v>
      </c>
      <c r="I32" s="70"/>
      <c r="J32" s="44"/>
      <c r="K32" s="44"/>
      <c r="L32" s="44"/>
      <c r="M32" s="87"/>
      <c r="N32" s="323"/>
      <c r="O32" s="41"/>
      <c r="P32" s="337">
        <f>SUM((G4+G9+G15+G16+G17+G18+G19+G25+G26+G27+G29+G30+G31)/G47)</f>
        <v>0.90649735752153504</v>
      </c>
      <c r="Q32" s="372"/>
      <c r="R32" s="373"/>
      <c r="S32" s="90"/>
      <c r="T32" s="51"/>
      <c r="U32" s="51"/>
      <c r="V32" s="51"/>
      <c r="W32" s="51"/>
      <c r="X32" s="51"/>
      <c r="Y32" s="51"/>
    </row>
    <row r="33" spans="1:25" s="1" customFormat="1" ht="16.5" thickBot="1" x14ac:dyDescent="0.3">
      <c r="A33" s="113"/>
      <c r="B33" s="224" t="s">
        <v>111</v>
      </c>
      <c r="C33" s="225"/>
      <c r="D33" s="226"/>
      <c r="E33" s="226"/>
      <c r="F33" s="226"/>
      <c r="G33" s="42"/>
      <c r="H33" s="115">
        <f>G33/$G$47</f>
        <v>0</v>
      </c>
      <c r="I33" s="70"/>
      <c r="J33" s="44"/>
      <c r="K33" s="44"/>
      <c r="L33" s="44"/>
      <c r="M33" s="87"/>
      <c r="N33" s="88"/>
      <c r="O33" s="41"/>
      <c r="P33" s="334">
        <v>0</v>
      </c>
      <c r="Q33" s="48"/>
      <c r="R33" s="373"/>
      <c r="S33" s="90"/>
      <c r="T33" s="57"/>
      <c r="U33" s="57"/>
      <c r="V33" s="56"/>
      <c r="W33" s="57"/>
      <c r="X33" s="57"/>
      <c r="Y33" s="112"/>
    </row>
    <row r="34" spans="1:25" s="52" customFormat="1" ht="16.5" thickBot="1" x14ac:dyDescent="0.25">
      <c r="A34" s="39"/>
      <c r="B34" s="224" t="s">
        <v>109</v>
      </c>
      <c r="C34" s="225"/>
      <c r="D34" s="226"/>
      <c r="E34" s="226"/>
      <c r="F34" s="226"/>
      <c r="G34" s="42">
        <f>SUM(G35:G37)</f>
        <v>15827668.17</v>
      </c>
      <c r="H34" s="43">
        <f>G34/$G$47</f>
        <v>6.5902473481810442E-2</v>
      </c>
      <c r="I34" s="70"/>
      <c r="J34" s="28"/>
      <c r="K34" s="44"/>
      <c r="L34" s="44"/>
      <c r="M34" s="87"/>
      <c r="N34" s="88"/>
      <c r="O34" s="104"/>
      <c r="P34" s="332"/>
      <c r="Q34" s="372"/>
      <c r="R34" s="372"/>
      <c r="S34" s="94"/>
      <c r="T34" s="51"/>
      <c r="U34" s="51"/>
      <c r="V34" s="51"/>
      <c r="W34" s="51"/>
      <c r="X34" s="51"/>
      <c r="Y34" s="51"/>
    </row>
    <row r="35" spans="1:25" s="1" customFormat="1" ht="18" x14ac:dyDescent="0.25">
      <c r="A35" s="8">
        <v>36</v>
      </c>
      <c r="B35" s="53" t="s">
        <v>134</v>
      </c>
      <c r="C35" s="118"/>
      <c r="D35" s="60" t="s">
        <v>49</v>
      </c>
      <c r="E35" s="85" t="s">
        <v>50</v>
      </c>
      <c r="F35" s="85" t="s">
        <v>51</v>
      </c>
      <c r="G35" s="377">
        <v>7306582.2800000003</v>
      </c>
      <c r="H35" s="61">
        <f t="shared" ref="H35:H36" si="4">G35/$G$47</f>
        <v>3.0422791265175109E-2</v>
      </c>
      <c r="I35" s="378">
        <v>1.49E-2</v>
      </c>
      <c r="J35" s="111"/>
      <c r="K35" s="263"/>
      <c r="L35" s="262" t="s">
        <v>135</v>
      </c>
      <c r="M35" s="379">
        <v>534648785.19999999</v>
      </c>
      <c r="N35" s="318">
        <f t="shared" ref="N35:N36" si="5">G35/M35</f>
        <v>1.3666134633162541E-2</v>
      </c>
      <c r="O35" s="536" t="s">
        <v>47</v>
      </c>
      <c r="P35" s="507">
        <f>SUM(G35:G37)/G47</f>
        <v>6.5902473481810442E-2</v>
      </c>
      <c r="Q35" s="530">
        <v>0.2</v>
      </c>
      <c r="R35" s="542">
        <v>0.15</v>
      </c>
      <c r="S35" s="533" t="s">
        <v>145</v>
      </c>
      <c r="T35" s="57"/>
      <c r="U35" s="57"/>
      <c r="V35" s="56"/>
      <c r="W35" s="57"/>
      <c r="X35" s="57"/>
      <c r="Y35" s="112"/>
    </row>
    <row r="36" spans="1:25" s="1" customFormat="1" ht="18" x14ac:dyDescent="0.25">
      <c r="A36" s="8"/>
      <c r="B36" s="53" t="s">
        <v>134</v>
      </c>
      <c r="C36" s="118"/>
      <c r="D36" s="60" t="s">
        <v>136</v>
      </c>
      <c r="E36" s="85" t="s">
        <v>26</v>
      </c>
      <c r="F36" s="85" t="s">
        <v>32</v>
      </c>
      <c r="G36" s="377">
        <v>4025416.99</v>
      </c>
      <c r="H36" s="61">
        <f t="shared" si="4"/>
        <v>1.6760835114014411E-2</v>
      </c>
      <c r="I36" s="378">
        <v>1.9800000000000002E-2</v>
      </c>
      <c r="J36" s="111"/>
      <c r="K36" s="265"/>
      <c r="L36" s="262" t="s">
        <v>46</v>
      </c>
      <c r="M36" s="379">
        <v>284993022.16000003</v>
      </c>
      <c r="N36" s="264">
        <f t="shared" si="5"/>
        <v>1.4124615962492097E-2</v>
      </c>
      <c r="O36" s="537"/>
      <c r="P36" s="508"/>
      <c r="Q36" s="531"/>
      <c r="R36" s="543"/>
      <c r="S36" s="534"/>
      <c r="T36" s="57"/>
      <c r="U36" s="57"/>
      <c r="V36" s="56"/>
      <c r="W36" s="57"/>
      <c r="X36" s="57"/>
      <c r="Y36" s="112"/>
    </row>
    <row r="37" spans="1:25" s="1" customFormat="1" ht="18.75" thickBot="1" x14ac:dyDescent="0.3">
      <c r="A37" s="8"/>
      <c r="B37" s="266" t="s">
        <v>137</v>
      </c>
      <c r="C37" s="77"/>
      <c r="D37" s="67" t="s">
        <v>171</v>
      </c>
      <c r="E37" s="110">
        <v>0.54</v>
      </c>
      <c r="F37" s="99" t="s">
        <v>32</v>
      </c>
      <c r="G37" s="381">
        <v>4495668.9000000004</v>
      </c>
      <c r="H37" s="121">
        <f t="shared" ref="H37" si="6">G37/$G$47</f>
        <v>1.8718847102620926E-2</v>
      </c>
      <c r="I37" s="380">
        <v>-7.1000000000000004E-3</v>
      </c>
      <c r="J37" s="111"/>
      <c r="K37" s="216"/>
      <c r="L37" s="267" t="s">
        <v>138</v>
      </c>
      <c r="M37" s="382">
        <v>373871471.73000002</v>
      </c>
      <c r="N37" s="61">
        <f t="shared" ref="N37" si="7">G37/M37</f>
        <v>1.2024637448793238E-2</v>
      </c>
      <c r="O37" s="538"/>
      <c r="P37" s="509"/>
      <c r="Q37" s="532"/>
      <c r="R37" s="544"/>
      <c r="S37" s="535"/>
      <c r="T37" s="57"/>
      <c r="U37" s="57"/>
      <c r="V37" s="56"/>
      <c r="W37" s="57"/>
      <c r="X37" s="57"/>
      <c r="Y37" s="112"/>
    </row>
    <row r="38" spans="1:25" s="1" customFormat="1" ht="16.5" thickBot="1" x14ac:dyDescent="0.3">
      <c r="A38" s="8"/>
      <c r="B38" s="240" t="s">
        <v>112</v>
      </c>
      <c r="C38" s="228"/>
      <c r="D38" s="239"/>
      <c r="E38" s="230"/>
      <c r="F38" s="232"/>
      <c r="G38" s="238"/>
      <c r="H38" s="124"/>
      <c r="I38" s="83"/>
      <c r="J38" s="273"/>
      <c r="K38" s="206"/>
      <c r="L38" s="274"/>
      <c r="M38" s="204"/>
      <c r="N38" s="43"/>
      <c r="O38" s="275" t="s">
        <v>47</v>
      </c>
      <c r="P38" s="336">
        <v>0</v>
      </c>
      <c r="Q38" s="73">
        <v>0.2</v>
      </c>
      <c r="R38" s="74">
        <v>0</v>
      </c>
      <c r="S38" s="276" t="s">
        <v>110</v>
      </c>
      <c r="T38" s="57"/>
      <c r="U38" s="57"/>
      <c r="V38" s="56"/>
      <c r="W38" s="57"/>
      <c r="X38" s="57"/>
      <c r="Y38" s="112"/>
    </row>
    <row r="39" spans="1:25" s="52" customFormat="1" ht="16.5" thickBot="1" x14ac:dyDescent="0.25">
      <c r="A39" s="39"/>
      <c r="B39" s="240" t="s">
        <v>113</v>
      </c>
      <c r="C39" s="225"/>
      <c r="D39" s="226"/>
      <c r="E39" s="226"/>
      <c r="F39" s="226"/>
      <c r="G39" s="42">
        <f>SUM(G40:G41)</f>
        <v>6620743.0899999999</v>
      </c>
      <c r="H39" s="43">
        <f>G39/$G$47</f>
        <v>2.7567127465157409E-2</v>
      </c>
      <c r="I39" s="278"/>
      <c r="J39" s="44"/>
      <c r="K39" s="44"/>
      <c r="L39" s="44"/>
      <c r="M39" s="87"/>
      <c r="N39" s="254"/>
      <c r="O39" s="104"/>
      <c r="P39" s="334"/>
      <c r="Q39" s="372"/>
      <c r="R39" s="373"/>
      <c r="S39" s="116"/>
      <c r="T39" s="51"/>
      <c r="U39" s="51"/>
      <c r="V39" s="51"/>
      <c r="W39" s="51"/>
      <c r="X39" s="51"/>
      <c r="Y39" s="51"/>
    </row>
    <row r="40" spans="1:25" s="1" customFormat="1" ht="18.75" thickBot="1" x14ac:dyDescent="0.3">
      <c r="A40" s="8"/>
      <c r="B40" s="268" t="s">
        <v>139</v>
      </c>
      <c r="C40" s="66" t="s">
        <v>48</v>
      </c>
      <c r="D40" s="122" t="s">
        <v>53</v>
      </c>
      <c r="E40" s="79" t="s">
        <v>25</v>
      </c>
      <c r="F40" s="79" t="s">
        <v>26</v>
      </c>
      <c r="G40" s="385">
        <v>3410096.59</v>
      </c>
      <c r="H40" s="64">
        <f t="shared" ref="H40:H41" si="8">G40/$G$47</f>
        <v>1.4198794015586644E-2</v>
      </c>
      <c r="I40" s="386">
        <v>-3.2876000000000002E-2</v>
      </c>
      <c r="J40" s="277"/>
      <c r="K40" s="269"/>
      <c r="L40" s="123" t="s">
        <v>43</v>
      </c>
      <c r="M40" s="387">
        <v>1303016652.3299999</v>
      </c>
      <c r="N40" s="61">
        <f t="shared" ref="N40:N41" si="9">G40/M40</f>
        <v>2.6170782882185026E-3</v>
      </c>
      <c r="O40" s="525" t="s">
        <v>150</v>
      </c>
      <c r="P40" s="507">
        <f>SUM(G40:G41)/G47</f>
        <v>2.7567127465157409E-2</v>
      </c>
      <c r="Q40" s="510">
        <v>0.1</v>
      </c>
      <c r="R40" s="510">
        <v>0.03</v>
      </c>
      <c r="S40" s="519"/>
      <c r="T40" s="57"/>
      <c r="U40" s="57"/>
      <c r="V40" s="56"/>
      <c r="W40" s="57"/>
      <c r="X40" s="57"/>
      <c r="Y40" s="69"/>
    </row>
    <row r="41" spans="1:25" s="1" customFormat="1" ht="18.75" thickBot="1" x14ac:dyDescent="0.3">
      <c r="A41" s="8"/>
      <c r="B41" s="279" t="s">
        <v>130</v>
      </c>
      <c r="C41" s="118"/>
      <c r="D41" s="67" t="s">
        <v>55</v>
      </c>
      <c r="E41" s="85" t="s">
        <v>56</v>
      </c>
      <c r="F41" s="85" t="s">
        <v>56</v>
      </c>
      <c r="G41" s="417">
        <v>3210646.5</v>
      </c>
      <c r="H41" s="68">
        <f t="shared" si="8"/>
        <v>1.3368333449570766E-2</v>
      </c>
      <c r="I41" s="380">
        <v>3.5999999999999999E-3</v>
      </c>
      <c r="J41" s="105"/>
      <c r="K41" s="270"/>
      <c r="L41" s="262" t="s">
        <v>46</v>
      </c>
      <c r="M41" s="413">
        <v>34771302.880000003</v>
      </c>
      <c r="N41" s="376">
        <f t="shared" si="9"/>
        <v>9.2336100004084737E-2</v>
      </c>
      <c r="O41" s="526"/>
      <c r="P41" s="509"/>
      <c r="Q41" s="512"/>
      <c r="R41" s="512"/>
      <c r="S41" s="520"/>
      <c r="T41" s="57"/>
      <c r="U41" s="57"/>
      <c r="V41" s="56"/>
      <c r="W41" s="57"/>
      <c r="X41" s="57"/>
      <c r="Y41" s="69"/>
    </row>
    <row r="42" spans="1:25" s="1" customFormat="1" ht="16.5" thickBot="1" x14ac:dyDescent="0.3">
      <c r="A42" s="8"/>
      <c r="B42" s="240" t="s">
        <v>114</v>
      </c>
      <c r="C42" s="225"/>
      <c r="D42" s="226"/>
      <c r="E42" s="226"/>
      <c r="F42" s="226"/>
      <c r="G42" s="42"/>
      <c r="H42" s="43">
        <f>G42/$G$47</f>
        <v>0</v>
      </c>
      <c r="I42" s="70"/>
      <c r="J42" s="71"/>
      <c r="K42" s="71"/>
      <c r="L42" s="44"/>
      <c r="M42" s="72"/>
      <c r="N42" s="88"/>
      <c r="O42" s="319" t="s">
        <v>151</v>
      </c>
      <c r="P42" s="335">
        <v>0</v>
      </c>
      <c r="Q42" s="324">
        <v>0.05</v>
      </c>
      <c r="R42" s="320">
        <v>0.03</v>
      </c>
      <c r="S42" s="11" t="s">
        <v>152</v>
      </c>
      <c r="T42" s="57"/>
      <c r="U42" s="57"/>
      <c r="V42" s="56"/>
      <c r="W42" s="57"/>
      <c r="X42" s="57"/>
      <c r="Y42" s="69"/>
    </row>
    <row r="43" spans="1:25" s="52" customFormat="1" ht="16.5" thickBot="1" x14ac:dyDescent="0.25">
      <c r="A43" s="39"/>
      <c r="B43" s="240" t="s">
        <v>115</v>
      </c>
      <c r="C43" s="225"/>
      <c r="D43" s="226"/>
      <c r="E43" s="226"/>
      <c r="F43" s="226"/>
      <c r="G43" s="42"/>
      <c r="H43" s="43">
        <f>G43/$G$47</f>
        <v>0</v>
      </c>
      <c r="I43" s="70"/>
      <c r="J43" s="44"/>
      <c r="K43" s="44"/>
      <c r="L43" s="44"/>
      <c r="M43" s="87"/>
      <c r="N43" s="254"/>
      <c r="O43" s="321" t="s">
        <v>153</v>
      </c>
      <c r="P43" s="335">
        <v>0</v>
      </c>
      <c r="Q43" s="320">
        <v>0.05</v>
      </c>
      <c r="R43" s="320">
        <v>0.03</v>
      </c>
      <c r="S43" s="11" t="s">
        <v>154</v>
      </c>
      <c r="T43" s="51"/>
      <c r="U43" s="51"/>
      <c r="V43" s="51"/>
      <c r="W43" s="51"/>
      <c r="X43" s="51"/>
      <c r="Y43" s="51"/>
    </row>
    <row r="44" spans="1:25" s="1" customFormat="1" ht="12" customHeight="1" thickBot="1" x14ac:dyDescent="0.3">
      <c r="A44" s="113"/>
      <c r="B44" s="114" t="s">
        <v>57</v>
      </c>
      <c r="C44" s="40"/>
      <c r="D44" s="41"/>
      <c r="E44" s="126"/>
      <c r="F44" s="126"/>
      <c r="G44" s="127">
        <f>SUM(G45:G46)</f>
        <v>7935.52</v>
      </c>
      <c r="H44" s="128">
        <f>G44/$G$47</f>
        <v>3.3041531497079425E-5</v>
      </c>
      <c r="I44" s="129"/>
      <c r="J44" s="130"/>
      <c r="K44" s="130"/>
      <c r="L44" s="130"/>
      <c r="M44" s="131"/>
      <c r="N44" s="88"/>
      <c r="O44" s="132"/>
      <c r="P44" s="339">
        <f>SUM((G32+G33+G34+G39+G43)/G47)</f>
        <v>9.3469600946967837E-2</v>
      </c>
      <c r="Q44" s="133"/>
      <c r="R44" s="134">
        <f>SUM(P32+P44+P45+P46)/100</f>
        <v>0.01</v>
      </c>
      <c r="S44" s="50"/>
      <c r="T44" s="125"/>
      <c r="U44" s="125"/>
      <c r="V44" s="125"/>
      <c r="W44" s="125"/>
      <c r="X44" s="125"/>
    </row>
    <row r="45" spans="1:25" s="1" customFormat="1" ht="15.75" thickBot="1" x14ac:dyDescent="0.3">
      <c r="A45" s="113">
        <v>46</v>
      </c>
      <c r="B45" s="284" t="s">
        <v>143</v>
      </c>
      <c r="C45" s="285"/>
      <c r="D45" s="286"/>
      <c r="E45" s="287"/>
      <c r="F45" s="287"/>
      <c r="G45" s="288">
        <v>0</v>
      </c>
      <c r="H45" s="83"/>
      <c r="I45" s="96">
        <v>0</v>
      </c>
      <c r="J45" s="136"/>
      <c r="K45" s="137"/>
      <c r="L45" s="138"/>
      <c r="M45" s="139"/>
      <c r="N45" s="140"/>
      <c r="O45" s="521" t="s">
        <v>58</v>
      </c>
      <c r="P45" s="523">
        <f>SUM(G45:G46)/G47</f>
        <v>3.3041531497079425E-5</v>
      </c>
      <c r="Q45" s="141"/>
      <c r="R45" s="142"/>
      <c r="S45" s="135"/>
      <c r="T45" s="125"/>
      <c r="U45" s="125"/>
      <c r="V45" s="125"/>
      <c r="W45" s="125"/>
      <c r="X45" s="125"/>
    </row>
    <row r="46" spans="1:25" s="125" customFormat="1" ht="15.75" thickBot="1" x14ac:dyDescent="0.3">
      <c r="A46" s="8">
        <v>47</v>
      </c>
      <c r="B46" s="284" t="s">
        <v>144</v>
      </c>
      <c r="C46" s="285"/>
      <c r="D46" s="286"/>
      <c r="E46" s="287"/>
      <c r="F46" s="287"/>
      <c r="G46" s="288">
        <v>7935.52</v>
      </c>
      <c r="H46" s="83"/>
      <c r="I46" s="62">
        <v>0</v>
      </c>
      <c r="J46" s="144"/>
      <c r="K46" s="145"/>
      <c r="L46" s="146"/>
      <c r="M46" s="147"/>
      <c r="N46" s="148"/>
      <c r="O46" s="522"/>
      <c r="P46" s="524"/>
      <c r="Q46" s="149"/>
      <c r="R46" s="150"/>
      <c r="S46" s="143"/>
      <c r="T46" s="151"/>
      <c r="V46" s="152"/>
      <c r="Y46" s="1"/>
    </row>
    <row r="47" spans="1:25" s="125" customFormat="1" ht="16.5" thickBot="1" x14ac:dyDescent="0.3">
      <c r="A47" s="8"/>
      <c r="B47" s="153" t="s">
        <v>59</v>
      </c>
      <c r="C47" s="154"/>
      <c r="D47" s="155"/>
      <c r="E47" s="156"/>
      <c r="F47" s="156"/>
      <c r="G47" s="157">
        <f>G4+G9+G15+G16+G17+G18+G19+G25+G26+G27+G28+G29+G30+G31+G32+G33+G34+G38+G39+G42+G43+G44</f>
        <v>240168044.28999999</v>
      </c>
      <c r="H47" s="158">
        <f>G47/$G$47</f>
        <v>1</v>
      </c>
      <c r="I47" s="159"/>
      <c r="J47" s="160"/>
      <c r="K47" s="161"/>
      <c r="L47" s="162"/>
      <c r="M47" s="163"/>
      <c r="N47" s="164"/>
      <c r="O47" s="165"/>
      <c r="P47" s="334">
        <f>SUM(P5+P10+P15+P16+P17+P18+P20+P25+P26+P27+P28+P29+P30+P31+P33+P35+P38+P40+P42+P43+P45)</f>
        <v>0.97913389649811688</v>
      </c>
      <c r="Q47" s="166"/>
      <c r="R47" s="338">
        <f>P32+P44</f>
        <v>0.99996695846850292</v>
      </c>
      <c r="S47" s="167"/>
      <c r="T47" s="151"/>
      <c r="V47" s="152"/>
      <c r="Y47" s="1"/>
    </row>
    <row r="48" spans="1:25" s="125" customFormat="1" x14ac:dyDescent="0.25">
      <c r="A48" s="1"/>
      <c r="B48" s="168" t="str">
        <f>'[3]FFIN2 Fevereiro 2018'!$B$72</f>
        <v>Meta Atuarial(INPC 0,18 + 0,486755)</v>
      </c>
      <c r="C48" s="168"/>
      <c r="D48" s="169"/>
      <c r="E48" s="169">
        <v>6.0000000000000001E-3</v>
      </c>
      <c r="F48" s="169"/>
      <c r="G48" s="168" t="s">
        <v>60</v>
      </c>
      <c r="H48" s="170">
        <f>'[3]FFIN2 Fevereiro 2018'!$H$72</f>
        <v>5.1999999999999998E-3</v>
      </c>
      <c r="I48" s="171"/>
      <c r="J48" s="168" t="s">
        <v>61</v>
      </c>
      <c r="K48" s="170">
        <f>'[3]FFIN2 Fevereiro 2018'!$K$72</f>
        <v>1.15E-2</v>
      </c>
      <c r="L48" s="171"/>
      <c r="M48" s="172" t="s">
        <v>62</v>
      </c>
      <c r="N48" s="170">
        <f>'[3]FFIN2 Fevereiro 2018'!$N$72</f>
        <v>1.1023E-2</v>
      </c>
      <c r="O48" s="1"/>
      <c r="P48" s="170" t="s">
        <v>167</v>
      </c>
      <c r="Q48" s="1"/>
      <c r="R48" s="170"/>
      <c r="S48" s="173">
        <v>0.03</v>
      </c>
      <c r="Y48" s="1"/>
    </row>
    <row r="49" spans="1:25" s="125" customFormat="1" x14ac:dyDescent="0.25">
      <c r="A49" s="1"/>
      <c r="B49" s="168" t="s">
        <v>169</v>
      </c>
      <c r="C49" s="174"/>
      <c r="D49" s="168"/>
      <c r="E49" s="175">
        <v>6.4999999999999997E-3</v>
      </c>
      <c r="F49" s="170"/>
      <c r="G49" s="168" t="s">
        <v>63</v>
      </c>
      <c r="H49" s="170">
        <f>'[3]FFIN2 Fevereiro 2018'!$H$73</f>
        <v>4.1999999999999997E-3</v>
      </c>
      <c r="I49" s="168"/>
      <c r="J49" s="168" t="s">
        <v>64</v>
      </c>
      <c r="K49" s="170">
        <f>'[3]FFIN2 Fevereiro 2018'!$K$73</f>
        <v>5.4860000000000004E-3</v>
      </c>
      <c r="L49" s="170"/>
      <c r="M49" s="172" t="s">
        <v>65</v>
      </c>
      <c r="N49" s="170">
        <f>'[3]FFIN2 Fevereiro 2018'!$N$73</f>
        <v>5.4099999999999999E-3</v>
      </c>
      <c r="O49" s="1"/>
      <c r="P49" s="178" t="s">
        <v>66</v>
      </c>
      <c r="Q49" s="1"/>
      <c r="R49" s="1"/>
      <c r="S49" s="173">
        <v>1.34E-2</v>
      </c>
      <c r="Y49" s="1"/>
    </row>
    <row r="50" spans="1:25" s="125" customFormat="1" x14ac:dyDescent="0.25">
      <c r="A50" s="1"/>
      <c r="B50" s="168" t="s">
        <v>67</v>
      </c>
      <c r="C50" s="1"/>
      <c r="D50" s="170"/>
      <c r="E50" s="170">
        <f>'[3]FFIN2 Fevereiro 2018'!$E$73</f>
        <v>9.1000000000000004E-3</v>
      </c>
      <c r="F50" s="170"/>
      <c r="G50" s="168" t="s">
        <v>68</v>
      </c>
      <c r="H50" s="170">
        <f>'[3]FFIN2 Fevereiro 2018'!$H$74</f>
        <v>4.3E-3</v>
      </c>
      <c r="I50" s="168"/>
      <c r="J50" s="168" t="s">
        <v>69</v>
      </c>
      <c r="K50" s="170">
        <f>'[3]FFIN2 Fevereiro 2018'!$K$74</f>
        <v>7.1640000000000002E-3</v>
      </c>
      <c r="L50" s="170"/>
      <c r="M50" s="172" t="s">
        <v>70</v>
      </c>
      <c r="N50" s="170">
        <f>'[3]FFIN2 Fevereiro 2018'!$N$74</f>
        <v>1.315E-2</v>
      </c>
      <c r="O50" s="170"/>
      <c r="P50" s="178" t="s">
        <v>168</v>
      </c>
      <c r="Q50" s="1"/>
      <c r="R50" s="1"/>
      <c r="S50" s="173">
        <v>0.121</v>
      </c>
      <c r="T50" s="177"/>
      <c r="Y50" s="1"/>
    </row>
    <row r="51" spans="1:25" s="125" customFormat="1" x14ac:dyDescent="0.25">
      <c r="A51" s="1"/>
      <c r="B51" s="168" t="s">
        <v>54</v>
      </c>
      <c r="C51" s="170"/>
      <c r="D51" s="170"/>
      <c r="E51" s="178">
        <f>'[3]FFIN2 Fevereiro 2018'!$E$74</f>
        <v>1.8E-3</v>
      </c>
      <c r="F51" s="178"/>
      <c r="G51" s="168" t="s">
        <v>71</v>
      </c>
      <c r="H51" s="170">
        <f>'[3]FFIN2 Fevereiro 2018'!$H$75</f>
        <v>-3.7000000000000002E-3</v>
      </c>
      <c r="I51" s="168"/>
      <c r="J51" s="168" t="s">
        <v>72</v>
      </c>
      <c r="K51" s="170">
        <f>'[3]FFIN2 Fevereiro 2018'!$K$75</f>
        <v>5.3920000000000001E-3</v>
      </c>
      <c r="L51" s="170"/>
      <c r="M51" s="172" t="s">
        <v>73</v>
      </c>
      <c r="N51" s="170">
        <f>'[3]FFIN2 Fevereiro 2018'!$N$75</f>
        <v>5.2880000000000002E-3</v>
      </c>
      <c r="O51" s="170"/>
      <c r="P51" s="178" t="s">
        <v>74</v>
      </c>
      <c r="Q51" s="1"/>
      <c r="R51" s="1"/>
      <c r="S51" s="173">
        <v>7.8700000000000006E-2</v>
      </c>
      <c r="Y51" s="1"/>
    </row>
    <row r="52" spans="1:25" s="125" customFormat="1" x14ac:dyDescent="0.25">
      <c r="A52" s="1"/>
      <c r="B52" s="168" t="s">
        <v>45</v>
      </c>
      <c r="C52" s="1"/>
      <c r="D52" s="170"/>
      <c r="E52" s="178">
        <f>'[3]FFIN2 Fevereiro 2018'!$E$75</f>
        <v>4.5999999999999999E-3</v>
      </c>
      <c r="F52" s="178"/>
      <c r="G52" s="168" t="s">
        <v>52</v>
      </c>
      <c r="H52" s="170">
        <f>'[3]FFIN2 Fevereiro 2018'!$H$76</f>
        <v>-6.1000000000000004E-3</v>
      </c>
      <c r="I52" s="1"/>
      <c r="J52" s="168" t="s">
        <v>75</v>
      </c>
      <c r="K52" s="170">
        <f>'[3]FFIN2 Fevereiro 2018'!$K$76</f>
        <v>5.5659999999999998E-3</v>
      </c>
      <c r="L52" s="1"/>
      <c r="M52" s="172" t="s">
        <v>76</v>
      </c>
      <c r="N52" s="170">
        <f>'[3]FFIN2 Fevereiro 2018'!$N$76</f>
        <v>4.5820000000000001E-3</v>
      </c>
      <c r="O52" s="170"/>
      <c r="P52" s="178"/>
      <c r="Q52" s="1"/>
      <c r="R52" s="1"/>
      <c r="S52" s="179">
        <f>G47</f>
        <v>240168044.28999999</v>
      </c>
      <c r="T52" s="180"/>
      <c r="Y52" s="1"/>
    </row>
    <row r="53" spans="1:25" s="125" customFormat="1" x14ac:dyDescent="0.25">
      <c r="A53" s="1"/>
      <c r="B53" s="1"/>
      <c r="C53" s="1"/>
      <c r="D53" s="1"/>
      <c r="E53" s="1"/>
      <c r="F53" s="1"/>
      <c r="G53" s="168"/>
      <c r="H53" s="170" t="s">
        <v>77</v>
      </c>
      <c r="I53" s="1"/>
      <c r="J53" s="168"/>
      <c r="K53" s="170"/>
      <c r="L53" s="1"/>
      <c r="M53" s="172"/>
      <c r="N53" s="181"/>
      <c r="O53" s="170"/>
      <c r="P53" s="181"/>
      <c r="Q53" s="1"/>
      <c r="R53" s="1"/>
      <c r="S53" s="182">
        <f>'[3]FFIN2 Fevereiro 2018'!$G$71</f>
        <v>783953158.96000004</v>
      </c>
      <c r="Y53" s="1"/>
    </row>
    <row r="54" spans="1:25" s="1" customFormat="1" x14ac:dyDescent="0.25">
      <c r="D54" t="s">
        <v>78</v>
      </c>
      <c r="G54" s="183">
        <f>'[4]Consolidado fevereiro 2018'!$G$98</f>
        <v>1024121203.25</v>
      </c>
      <c r="H54" s="170"/>
      <c r="J54" s="168"/>
      <c r="K54" s="170"/>
      <c r="M54" s="184"/>
      <c r="N54" s="181"/>
      <c r="O54" s="170"/>
      <c r="P54" s="181"/>
      <c r="S54" s="185">
        <f>S52+S53</f>
        <v>1024121203.25</v>
      </c>
      <c r="T54" s="125"/>
      <c r="U54" s="125"/>
      <c r="V54" s="125"/>
      <c r="W54" s="125"/>
      <c r="X54" s="125"/>
    </row>
    <row r="55" spans="1:25" s="7" customFormat="1" x14ac:dyDescent="0.25">
      <c r="A55"/>
      <c r="B55"/>
      <c r="C55"/>
      <c r="D55"/>
      <c r="E55"/>
      <c r="F55"/>
      <c r="G55" s="186"/>
      <c r="H55" s="187"/>
      <c r="I55"/>
      <c r="J55" s="188"/>
      <c r="K55" s="187"/>
      <c r="L55"/>
      <c r="M55" s="189"/>
      <c r="N55" s="190"/>
      <c r="O55"/>
      <c r="P55" s="190"/>
      <c r="Q55"/>
      <c r="R55"/>
      <c r="S55" s="185"/>
      <c r="Y55"/>
    </row>
    <row r="56" spans="1:25" s="7" customFormat="1" x14ac:dyDescent="0.25">
      <c r="A56"/>
      <c r="B56" s="168"/>
      <c r="C56" s="168"/>
      <c r="D56" s="168"/>
      <c r="E56" s="169"/>
      <c r="F56" s="169"/>
      <c r="G56" s="186"/>
      <c r="H56" s="190"/>
      <c r="I56"/>
      <c r="J56"/>
      <c r="K56"/>
      <c r="L56"/>
      <c r="M56" s="189"/>
      <c r="N56" s="190"/>
      <c r="O56"/>
      <c r="P56" s="190"/>
      <c r="Q56"/>
      <c r="R56"/>
      <c r="S56"/>
      <c r="Y56"/>
    </row>
    <row r="57" spans="1:25" s="7" customFormat="1" x14ac:dyDescent="0.25">
      <c r="A57"/>
      <c r="B57" s="168"/>
      <c r="C57" s="168"/>
      <c r="D57" s="168"/>
      <c r="E57" s="170"/>
      <c r="F57" s="170"/>
      <c r="G57" s="191"/>
      <c r="H57" s="190"/>
      <c r="I57"/>
      <c r="J57"/>
      <c r="K57"/>
      <c r="L57"/>
      <c r="M57" s="189"/>
      <c r="N57" s="190"/>
      <c r="O57"/>
      <c r="P57" s="190"/>
      <c r="Q57"/>
      <c r="R57"/>
      <c r="S57"/>
      <c r="Y57"/>
    </row>
    <row r="58" spans="1:25" s="7" customFormat="1" x14ac:dyDescent="0.25">
      <c r="A58"/>
      <c r="B58" s="168"/>
      <c r="C58" s="1"/>
      <c r="D58" s="170"/>
      <c r="E58" s="170"/>
      <c r="F58" s="170"/>
      <c r="G58" s="186"/>
      <c r="H58" s="190"/>
      <c r="I58"/>
      <c r="J58"/>
      <c r="K58"/>
      <c r="L58"/>
      <c r="M58" s="189"/>
      <c r="N58" s="190"/>
      <c r="O58"/>
      <c r="P58" s="190"/>
      <c r="Q58"/>
      <c r="R58"/>
      <c r="S58"/>
      <c r="Y58"/>
    </row>
    <row r="59" spans="1:25" s="7" customFormat="1" x14ac:dyDescent="0.25">
      <c r="A59"/>
      <c r="B59" s="168"/>
      <c r="C59" s="170"/>
      <c r="D59" s="170"/>
      <c r="E59" s="176"/>
      <c r="F59" s="176"/>
      <c r="G59" s="186"/>
      <c r="H59" s="190"/>
      <c r="I59"/>
      <c r="J59"/>
      <c r="K59"/>
      <c r="L59"/>
      <c r="M59" s="189" t="s">
        <v>79</v>
      </c>
      <c r="N59" s="190"/>
      <c r="O59"/>
      <c r="P59" s="190"/>
      <c r="Q59"/>
      <c r="R59"/>
      <c r="S59"/>
      <c r="Y59"/>
    </row>
    <row r="60" spans="1:25" s="7" customFormat="1" x14ac:dyDescent="0.25">
      <c r="A60"/>
      <c r="B60" s="168" t="s">
        <v>36</v>
      </c>
      <c r="C60" s="1"/>
      <c r="D60" s="170" t="s">
        <v>80</v>
      </c>
      <c r="E60" s="192">
        <v>6.8999999999999999E-3</v>
      </c>
      <c r="F60" s="1"/>
      <c r="G60" s="186">
        <f>G4+G9+G17+G19+G29</f>
        <v>217711697.50999999</v>
      </c>
      <c r="H60" s="190">
        <f>G60/G63</f>
        <v>0.90649735752153504</v>
      </c>
      <c r="I60"/>
      <c r="J60" t="s">
        <v>36</v>
      </c>
      <c r="K60"/>
      <c r="L60"/>
      <c r="M60" s="193">
        <f>'[4]Consolidado fevereiro 2018'!$M$104</f>
        <v>838658112.35000002</v>
      </c>
      <c r="N60" s="190">
        <f>M60/M63</f>
        <v>0.81890513514275298</v>
      </c>
      <c r="O60"/>
      <c r="P60" s="190"/>
      <c r="Q60"/>
      <c r="R60"/>
      <c r="S60"/>
      <c r="Y60"/>
    </row>
    <row r="61" spans="1:25" s="7" customFormat="1" x14ac:dyDescent="0.25">
      <c r="A61"/>
      <c r="B61" t="s">
        <v>47</v>
      </c>
      <c r="C61"/>
      <c r="D61" s="170" t="s">
        <v>80</v>
      </c>
      <c r="E61" s="192">
        <v>2.2000000000000001E-3</v>
      </c>
      <c r="F61">
        <v>3.71</v>
      </c>
      <c r="G61" s="186">
        <f>G32++G33+G34+G39+G43</f>
        <v>22448411.259999998</v>
      </c>
      <c r="H61" s="190">
        <f>G61/G63</f>
        <v>9.3469600946967837E-2</v>
      </c>
      <c r="I61"/>
      <c r="J61" t="s">
        <v>47</v>
      </c>
      <c r="K61"/>
      <c r="L61"/>
      <c r="M61" s="193">
        <f>'[4]Consolidado fevereiro 2018'!$M$105</f>
        <v>184803995.55999997</v>
      </c>
      <c r="N61" s="190">
        <f>M61/M63</f>
        <v>0.18045129323905537</v>
      </c>
      <c r="O61"/>
      <c r="P61" s="190"/>
      <c r="Q61"/>
      <c r="R61"/>
      <c r="S61"/>
      <c r="Y61"/>
    </row>
    <row r="62" spans="1:25" s="7" customFormat="1" x14ac:dyDescent="0.25">
      <c r="A62"/>
      <c r="B62" t="s">
        <v>81</v>
      </c>
      <c r="C62"/>
      <c r="D62"/>
      <c r="E62" s="194"/>
      <c r="F62"/>
      <c r="G62" s="186">
        <f>G44</f>
        <v>7935.52</v>
      </c>
      <c r="H62" s="190">
        <f>G62/G63</f>
        <v>3.3041531497079425E-5</v>
      </c>
      <c r="I62"/>
      <c r="J62" t="s">
        <v>82</v>
      </c>
      <c r="K62"/>
      <c r="L62"/>
      <c r="M62" s="193">
        <f>'[4]Consolidado fevereiro 2018'!$M$106</f>
        <v>659095.34000000008</v>
      </c>
      <c r="N62" s="190">
        <f>M62/M63</f>
        <v>6.4357161819166746E-4</v>
      </c>
      <c r="O62"/>
      <c r="P62" s="190"/>
      <c r="Q62"/>
      <c r="R62"/>
      <c r="S62"/>
      <c r="Y62"/>
    </row>
    <row r="63" spans="1:25" s="7" customFormat="1" x14ac:dyDescent="0.25">
      <c r="A63"/>
      <c r="B63"/>
      <c r="C63"/>
      <c r="D63"/>
      <c r="E63" s="192">
        <v>6.4999999999999997E-3</v>
      </c>
      <c r="F63">
        <v>3.19</v>
      </c>
      <c r="G63" s="186">
        <f>G60+G61+G62</f>
        <v>240168044.28999999</v>
      </c>
      <c r="H63" s="190">
        <f>SUM(H60:H62)</f>
        <v>1</v>
      </c>
      <c r="I63"/>
      <c r="J63" s="7" t="s">
        <v>83</v>
      </c>
      <c r="M63" s="193">
        <f>M60+M61+M62</f>
        <v>1024121203.25</v>
      </c>
      <c r="N63" s="190">
        <f>N60+N61+N62</f>
        <v>1</v>
      </c>
      <c r="O63"/>
      <c r="P63" s="190"/>
      <c r="Q63"/>
      <c r="R63"/>
      <c r="S63"/>
      <c r="Y63"/>
    </row>
    <row r="64" spans="1:25" s="7" customFormat="1" x14ac:dyDescent="0.25">
      <c r="A64"/>
      <c r="B64"/>
      <c r="C64"/>
      <c r="D64"/>
      <c r="E64" s="195"/>
      <c r="F64"/>
      <c r="G64" s="1"/>
      <c r="H64" s="190"/>
      <c r="I64"/>
      <c r="J64"/>
      <c r="K64"/>
      <c r="L64"/>
      <c r="M64" s="189"/>
      <c r="N64" s="190"/>
      <c r="O64"/>
      <c r="P64" s="190"/>
      <c r="Q64"/>
      <c r="R64"/>
      <c r="S64"/>
      <c r="Y64"/>
    </row>
    <row r="65" spans="1:25" s="7" customFormat="1" x14ac:dyDescent="0.25">
      <c r="A65"/>
      <c r="B65"/>
      <c r="C65"/>
      <c r="D65"/>
      <c r="E65"/>
      <c r="F65"/>
      <c r="G65" s="1"/>
      <c r="H65" s="190"/>
      <c r="I65"/>
      <c r="J65"/>
      <c r="K65"/>
      <c r="L65"/>
      <c r="M65" s="189"/>
      <c r="N65" s="190"/>
      <c r="O65"/>
      <c r="P65" s="190"/>
      <c r="Q65"/>
      <c r="R65"/>
      <c r="S65"/>
      <c r="Y65"/>
    </row>
    <row r="66" spans="1:25" s="7" customFormat="1" x14ac:dyDescent="0.25">
      <c r="A66"/>
      <c r="B66"/>
      <c r="C66"/>
      <c r="D66"/>
      <c r="E66"/>
      <c r="F66"/>
      <c r="G66" s="1"/>
      <c r="H66" s="190"/>
      <c r="I66"/>
      <c r="J66"/>
      <c r="K66"/>
      <c r="L66"/>
      <c r="M66" s="189"/>
      <c r="N66" s="190"/>
      <c r="O66"/>
      <c r="P66" s="190"/>
      <c r="Q66"/>
      <c r="R66"/>
      <c r="S66"/>
      <c r="Y66"/>
    </row>
  </sheetData>
  <mergeCells count="28">
    <mergeCell ref="S5:S8"/>
    <mergeCell ref="P3:R3"/>
    <mergeCell ref="O5:O8"/>
    <mergeCell ref="P5:P8"/>
    <mergeCell ref="Q5:Q8"/>
    <mergeCell ref="R5:R8"/>
    <mergeCell ref="O20:O24"/>
    <mergeCell ref="P20:P24"/>
    <mergeCell ref="Q20:Q24"/>
    <mergeCell ref="R20:R24"/>
    <mergeCell ref="S20:S24"/>
    <mergeCell ref="O10:O14"/>
    <mergeCell ref="P10:P14"/>
    <mergeCell ref="Q10:Q14"/>
    <mergeCell ref="R10:R14"/>
    <mergeCell ref="S10:S14"/>
    <mergeCell ref="R40:R41"/>
    <mergeCell ref="S40:S41"/>
    <mergeCell ref="O35:O37"/>
    <mergeCell ref="P35:P37"/>
    <mergeCell ref="Q35:Q37"/>
    <mergeCell ref="R35:R37"/>
    <mergeCell ref="S35:S37"/>
    <mergeCell ref="O45:O46"/>
    <mergeCell ref="P45:P46"/>
    <mergeCell ref="O40:O41"/>
    <mergeCell ref="P40:P41"/>
    <mergeCell ref="Q40:Q41"/>
  </mergeCells>
  <printOptions horizontalCentered="1"/>
  <pageMargins left="0" right="0" top="0" bottom="0" header="0.19685039370078741" footer="0.3937007874015748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opLeftCell="A38" zoomScaleNormal="100" workbookViewId="0">
      <selection activeCell="H48" sqref="H48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2.85546875" style="1" bestFit="1" customWidth="1"/>
    <col min="8" max="8" width="11.5703125" style="190" customWidth="1"/>
    <col min="9" max="9" width="10.85546875" style="1" customWidth="1"/>
    <col min="10" max="10" width="7.5703125" customWidth="1"/>
    <col min="11" max="11" width="7.7109375" customWidth="1"/>
    <col min="12" max="12" width="9.140625" customWidth="1"/>
    <col min="13" max="13" width="15" style="184" bestFit="1" customWidth="1"/>
    <col min="14" max="14" width="8.140625" style="190" bestFit="1" customWidth="1"/>
    <col min="15" max="15" width="13.5703125" customWidth="1"/>
    <col min="16" max="16" width="8.42578125" style="190" customWidth="1"/>
    <col min="17" max="17" width="5.5703125" customWidth="1"/>
    <col min="18" max="18" width="6.140625" bestFit="1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174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4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326" t="s">
        <v>8</v>
      </c>
      <c r="Q2" s="20"/>
      <c r="R2" s="21"/>
      <c r="S2" s="22" t="s">
        <v>9</v>
      </c>
      <c r="T2" s="7" t="s">
        <v>10</v>
      </c>
    </row>
    <row r="3" spans="1:25" ht="15.75" thickBot="1" x14ac:dyDescent="0.3">
      <c r="A3" s="8"/>
      <c r="B3" s="23"/>
      <c r="C3" s="24"/>
      <c r="D3" s="25"/>
      <c r="E3" s="26"/>
      <c r="F3" s="27"/>
      <c r="G3" s="28" t="s">
        <v>11</v>
      </c>
      <c r="H3" s="29" t="s">
        <v>12</v>
      </c>
      <c r="I3" s="30" t="s">
        <v>13</v>
      </c>
      <c r="J3" s="31" t="s">
        <v>14</v>
      </c>
      <c r="K3" s="32" t="s">
        <v>15</v>
      </c>
      <c r="L3" s="33"/>
      <c r="M3" s="34" t="s">
        <v>16</v>
      </c>
      <c r="N3" s="35" t="s">
        <v>17</v>
      </c>
      <c r="O3" s="36"/>
      <c r="P3" s="548" t="s">
        <v>18</v>
      </c>
      <c r="Q3" s="549"/>
      <c r="R3" s="550"/>
      <c r="S3" s="37" t="s">
        <v>19</v>
      </c>
      <c r="T3" s="38"/>
      <c r="U3" s="38"/>
      <c r="V3" s="38"/>
      <c r="W3" s="38"/>
      <c r="X3" s="38"/>
      <c r="Y3" s="38"/>
    </row>
    <row r="4" spans="1:25" s="52" customFormat="1" ht="12" customHeight="1" thickBot="1" x14ac:dyDescent="0.25">
      <c r="A4" s="39"/>
      <c r="B4" s="224" t="s">
        <v>84</v>
      </c>
      <c r="C4" s="225"/>
      <c r="D4" s="226"/>
      <c r="E4" s="226"/>
      <c r="F4" s="226"/>
      <c r="G4" s="42">
        <f>SUM(G5:G8)</f>
        <v>42419642.659999996</v>
      </c>
      <c r="H4" s="43">
        <f t="shared" ref="H4:H14" si="0">G4/$G$47</f>
        <v>0.17106408044322577</v>
      </c>
      <c r="I4" s="44"/>
      <c r="J4" s="44"/>
      <c r="K4" s="44"/>
      <c r="L4" s="44"/>
      <c r="M4" s="45"/>
      <c r="N4" s="46"/>
      <c r="O4" s="47"/>
      <c r="P4" s="327"/>
      <c r="Q4" s="423"/>
      <c r="R4" s="424"/>
      <c r="S4" s="90"/>
      <c r="T4" s="51"/>
      <c r="U4" s="51"/>
      <c r="V4" s="51"/>
      <c r="W4" s="51"/>
      <c r="X4" s="51"/>
      <c r="Y4" s="51"/>
    </row>
    <row r="5" spans="1:25" s="1" customFormat="1" ht="18" x14ac:dyDescent="0.25">
      <c r="A5" s="8"/>
      <c r="B5" s="251" t="s">
        <v>121</v>
      </c>
      <c r="C5" s="54" t="s">
        <v>20</v>
      </c>
      <c r="D5" s="55" t="s">
        <v>116</v>
      </c>
      <c r="E5" s="55"/>
      <c r="F5" s="55"/>
      <c r="G5" s="383">
        <v>13053142.279999999</v>
      </c>
      <c r="H5" s="64">
        <f t="shared" si="0"/>
        <v>5.2638910679187502E-2</v>
      </c>
      <c r="I5" s="416">
        <v>1.0200000000000001E-2</v>
      </c>
      <c r="J5" s="247" t="s">
        <v>21</v>
      </c>
      <c r="K5" s="247"/>
      <c r="L5" s="252"/>
      <c r="M5" s="98"/>
      <c r="N5" s="253"/>
      <c r="O5" s="551" t="s">
        <v>147</v>
      </c>
      <c r="P5" s="557">
        <f>SUM(G5:G8)/G47</f>
        <v>0.17106408044322577</v>
      </c>
      <c r="Q5" s="510">
        <v>1</v>
      </c>
      <c r="R5" s="542">
        <v>0.4</v>
      </c>
      <c r="S5" s="545" t="s">
        <v>148</v>
      </c>
      <c r="T5" s="57"/>
      <c r="U5" s="57"/>
      <c r="V5" s="56"/>
      <c r="W5" s="57"/>
      <c r="X5" s="57"/>
      <c r="Y5" s="69"/>
    </row>
    <row r="6" spans="1:25" s="1" customFormat="1" ht="18.75" thickBot="1" x14ac:dyDescent="0.3">
      <c r="A6" s="8"/>
      <c r="B6" s="249" t="s">
        <v>121</v>
      </c>
      <c r="C6" s="59" t="s">
        <v>20</v>
      </c>
      <c r="D6" s="60" t="s">
        <v>117</v>
      </c>
      <c r="E6" s="65"/>
      <c r="F6" s="65"/>
      <c r="G6" s="427">
        <v>6749920.9199999999</v>
      </c>
      <c r="H6" s="120">
        <f t="shared" si="0"/>
        <v>2.7220149507131485E-2</v>
      </c>
      <c r="I6" s="405">
        <v>2.0199999999999999E-2</v>
      </c>
      <c r="J6" s="241" t="s">
        <v>22</v>
      </c>
      <c r="K6" s="242"/>
      <c r="L6" s="243"/>
      <c r="M6" s="325">
        <v>1.0330000000000001E-2</v>
      </c>
      <c r="N6" s="63"/>
      <c r="O6" s="552"/>
      <c r="P6" s="558"/>
      <c r="Q6" s="511"/>
      <c r="R6" s="543"/>
      <c r="S6" s="546"/>
      <c r="T6" s="57"/>
      <c r="U6" s="57"/>
      <c r="V6" s="56"/>
      <c r="W6" s="57"/>
      <c r="X6" s="57"/>
      <c r="Y6" s="69"/>
    </row>
    <row r="7" spans="1:25" s="1" customFormat="1" ht="18.75" thickBot="1" x14ac:dyDescent="0.3">
      <c r="A7" s="8"/>
      <c r="B7" s="249" t="s">
        <v>121</v>
      </c>
      <c r="C7" s="59" t="s">
        <v>20</v>
      </c>
      <c r="D7" s="60" t="s">
        <v>118</v>
      </c>
      <c r="E7" s="65"/>
      <c r="F7" s="65"/>
      <c r="G7" s="411">
        <v>11507873.880000001</v>
      </c>
      <c r="H7" s="61">
        <f t="shared" si="0"/>
        <v>4.6407365543300813E-2</v>
      </c>
      <c r="I7" s="412">
        <v>1.66E-2</v>
      </c>
      <c r="J7" s="244" t="s">
        <v>119</v>
      </c>
      <c r="K7" s="242"/>
      <c r="L7" s="248"/>
      <c r="M7" s="98"/>
      <c r="N7" s="63"/>
      <c r="O7" s="552"/>
      <c r="P7" s="558"/>
      <c r="Q7" s="511"/>
      <c r="R7" s="543"/>
      <c r="S7" s="546"/>
      <c r="T7" s="57"/>
      <c r="U7" s="57"/>
      <c r="V7" s="56"/>
      <c r="W7" s="57"/>
      <c r="X7" s="57"/>
      <c r="Y7" s="69"/>
    </row>
    <row r="8" spans="1:25" s="1" customFormat="1" ht="18.75" thickBot="1" x14ac:dyDescent="0.3">
      <c r="A8" s="8"/>
      <c r="B8" s="250" t="s">
        <v>122</v>
      </c>
      <c r="C8" s="59" t="s">
        <v>20</v>
      </c>
      <c r="D8" s="67" t="s">
        <v>120</v>
      </c>
      <c r="E8" s="67"/>
      <c r="F8" s="67"/>
      <c r="G8" s="417">
        <v>11108705.58</v>
      </c>
      <c r="H8" s="121">
        <f t="shared" si="0"/>
        <v>4.4797654713606E-2</v>
      </c>
      <c r="I8" s="380">
        <v>5.1000000000000004E-3</v>
      </c>
      <c r="J8" s="245" t="s">
        <v>23</v>
      </c>
      <c r="K8" s="245"/>
      <c r="L8" s="246"/>
      <c r="M8" s="106"/>
      <c r="N8" s="63"/>
      <c r="O8" s="553"/>
      <c r="P8" s="559"/>
      <c r="Q8" s="512"/>
      <c r="R8" s="544"/>
      <c r="S8" s="547"/>
      <c r="T8" s="57"/>
      <c r="U8" s="57"/>
      <c r="V8" s="56"/>
      <c r="W8" s="57"/>
      <c r="X8" s="57"/>
      <c r="Y8" s="69"/>
    </row>
    <row r="9" spans="1:25" s="52" customFormat="1" ht="16.5" thickBot="1" x14ac:dyDescent="0.25">
      <c r="A9" s="39"/>
      <c r="B9" s="224" t="s">
        <v>85</v>
      </c>
      <c r="C9" s="225"/>
      <c r="D9" s="226"/>
      <c r="E9" s="226"/>
      <c r="F9" s="226"/>
      <c r="G9" s="42">
        <f>SUM(G10:G14)</f>
        <v>142696580.75999999</v>
      </c>
      <c r="H9" s="83">
        <f t="shared" si="0"/>
        <v>0.57544707685903695</v>
      </c>
      <c r="I9" s="70"/>
      <c r="J9" s="71"/>
      <c r="K9" s="44"/>
      <c r="L9" s="44"/>
      <c r="M9" s="87"/>
      <c r="N9" s="254"/>
      <c r="O9" s="47"/>
      <c r="P9" s="425"/>
      <c r="Q9" s="419"/>
      <c r="R9" s="420"/>
      <c r="S9" s="422"/>
      <c r="T9" s="51"/>
      <c r="U9" s="51"/>
      <c r="V9" s="51"/>
      <c r="W9" s="51"/>
      <c r="X9" s="51"/>
      <c r="Y9" s="51"/>
    </row>
    <row r="10" spans="1:25" s="52" customFormat="1" ht="18" x14ac:dyDescent="0.25">
      <c r="A10" s="39"/>
      <c r="B10" s="388" t="s">
        <v>172</v>
      </c>
      <c r="C10" s="75" t="s">
        <v>24</v>
      </c>
      <c r="D10" s="389" t="s">
        <v>173</v>
      </c>
      <c r="E10" s="390" t="s">
        <v>25</v>
      </c>
      <c r="F10" s="391" t="s">
        <v>26</v>
      </c>
      <c r="G10" s="402">
        <v>9756783.5</v>
      </c>
      <c r="H10" s="396">
        <f t="shared" si="0"/>
        <v>3.9345809932646379E-2</v>
      </c>
      <c r="I10" s="392">
        <v>1.6E-2</v>
      </c>
      <c r="J10" s="398"/>
      <c r="K10" s="393"/>
      <c r="L10" s="394" t="s">
        <v>27</v>
      </c>
      <c r="M10" s="403">
        <v>1290858853.55</v>
      </c>
      <c r="N10" s="395">
        <f t="shared" ref="N10:N11" si="1">G10/M10</f>
        <v>7.5583658687143071E-3</v>
      </c>
      <c r="O10" s="536" t="s">
        <v>28</v>
      </c>
      <c r="P10" s="507">
        <f>SUM(G11:G14)/G47</f>
        <v>0.5361012669263906</v>
      </c>
      <c r="Q10" s="542">
        <v>1</v>
      </c>
      <c r="R10" s="513">
        <v>0.5</v>
      </c>
      <c r="S10" s="533" t="s">
        <v>146</v>
      </c>
      <c r="T10" s="51"/>
      <c r="U10" s="51"/>
      <c r="V10" s="51"/>
      <c r="W10" s="51"/>
      <c r="X10" s="51"/>
      <c r="Y10" s="51"/>
    </row>
    <row r="11" spans="1:25" s="1" customFormat="1" ht="15.75" customHeight="1" thickBot="1" x14ac:dyDescent="0.3">
      <c r="A11" s="8"/>
      <c r="B11" s="76" t="s">
        <v>123</v>
      </c>
      <c r="C11" s="77" t="s">
        <v>29</v>
      </c>
      <c r="D11" s="55" t="s">
        <v>30</v>
      </c>
      <c r="E11" s="78" t="s">
        <v>25</v>
      </c>
      <c r="F11" s="79" t="s">
        <v>26</v>
      </c>
      <c r="G11" s="383">
        <v>17956501.23</v>
      </c>
      <c r="H11" s="64">
        <f t="shared" si="0"/>
        <v>7.2412499923864351E-2</v>
      </c>
      <c r="I11" s="378">
        <v>1.3011E-2</v>
      </c>
      <c r="J11" s="80"/>
      <c r="K11" s="255"/>
      <c r="L11" s="123" t="s">
        <v>31</v>
      </c>
      <c r="M11" s="408">
        <v>5461875715.0200005</v>
      </c>
      <c r="N11" s="400">
        <f t="shared" si="1"/>
        <v>3.2876070725337343E-3</v>
      </c>
      <c r="O11" s="537"/>
      <c r="P11" s="508"/>
      <c r="Q11" s="543"/>
      <c r="R11" s="514"/>
      <c r="S11" s="534"/>
      <c r="T11" s="57"/>
      <c r="U11" s="57"/>
      <c r="V11" s="56"/>
      <c r="W11" s="57"/>
      <c r="X11" s="57"/>
      <c r="Y11" s="69"/>
    </row>
    <row r="12" spans="1:25" s="1" customFormat="1" ht="15.75" customHeight="1" thickBot="1" x14ac:dyDescent="0.3">
      <c r="A12" s="8"/>
      <c r="B12" s="76" t="s">
        <v>140</v>
      </c>
      <c r="C12" s="77" t="s">
        <v>29</v>
      </c>
      <c r="D12" s="55" t="s">
        <v>37</v>
      </c>
      <c r="E12" s="79" t="s">
        <v>25</v>
      </c>
      <c r="F12" s="117" t="s">
        <v>26</v>
      </c>
      <c r="G12" s="383">
        <v>20072259.629999999</v>
      </c>
      <c r="H12" s="97">
        <f t="shared" si="0"/>
        <v>8.0944638396528004E-2</v>
      </c>
      <c r="I12" s="378">
        <v>1.6022999999999999E-2</v>
      </c>
      <c r="J12" s="80"/>
      <c r="K12" s="255"/>
      <c r="L12" s="259" t="s">
        <v>34</v>
      </c>
      <c r="M12" s="408">
        <v>2226807779.79</v>
      </c>
      <c r="N12" s="400">
        <f>G12/M12</f>
        <v>9.0139166084164304E-3</v>
      </c>
      <c r="O12" s="537"/>
      <c r="P12" s="508"/>
      <c r="Q12" s="543"/>
      <c r="R12" s="514"/>
      <c r="S12" s="534"/>
      <c r="T12" s="57"/>
      <c r="U12" s="57"/>
      <c r="V12" s="56"/>
      <c r="W12" s="57"/>
      <c r="X12" s="57"/>
      <c r="Y12" s="69"/>
    </row>
    <row r="13" spans="1:25" s="1" customFormat="1" ht="18.75" thickBot="1" x14ac:dyDescent="0.3">
      <c r="A13" s="8"/>
      <c r="B13" s="84" t="s">
        <v>124</v>
      </c>
      <c r="C13" s="67" t="s">
        <v>33</v>
      </c>
      <c r="D13" s="60" t="s">
        <v>35</v>
      </c>
      <c r="E13" s="82" t="s">
        <v>25</v>
      </c>
      <c r="F13" s="82" t="s">
        <v>25</v>
      </c>
      <c r="G13" s="411">
        <v>52224980.469999999</v>
      </c>
      <c r="H13" s="64">
        <f t="shared" si="0"/>
        <v>0.21060569349609831</v>
      </c>
      <c r="I13" s="412">
        <v>1.2980999999999999E-2</v>
      </c>
      <c r="J13" s="257"/>
      <c r="K13" s="258"/>
      <c r="L13" s="259" t="s">
        <v>34</v>
      </c>
      <c r="M13" s="409">
        <v>3396431132.1100001</v>
      </c>
      <c r="N13" s="399">
        <f>G13/M13</f>
        <v>1.5376428503514433E-2</v>
      </c>
      <c r="O13" s="537"/>
      <c r="P13" s="508"/>
      <c r="Q13" s="543"/>
      <c r="R13" s="514"/>
      <c r="S13" s="534"/>
      <c r="T13" s="57"/>
      <c r="U13" s="57"/>
      <c r="V13" s="56"/>
      <c r="W13" s="57"/>
      <c r="X13" s="57"/>
      <c r="Y13" s="69"/>
    </row>
    <row r="14" spans="1:25" s="1" customFormat="1" ht="18.75" thickBot="1" x14ac:dyDescent="0.3">
      <c r="A14" s="8">
        <v>12</v>
      </c>
      <c r="B14" s="53" t="s">
        <v>124</v>
      </c>
      <c r="C14" s="118" t="s">
        <v>33</v>
      </c>
      <c r="D14" s="65" t="s">
        <v>125</v>
      </c>
      <c r="E14" s="82" t="s">
        <v>25</v>
      </c>
      <c r="F14" s="82" t="s">
        <v>25</v>
      </c>
      <c r="G14" s="411">
        <v>42686055.93</v>
      </c>
      <c r="H14" s="397">
        <f t="shared" si="0"/>
        <v>0.17213843510989998</v>
      </c>
      <c r="I14" s="412">
        <v>1.5996E-2</v>
      </c>
      <c r="J14" s="86"/>
      <c r="K14" s="261"/>
      <c r="L14" s="259" t="s">
        <v>34</v>
      </c>
      <c r="M14" s="410">
        <v>7642122550.6899996</v>
      </c>
      <c r="N14" s="399">
        <f>G14/M14</f>
        <v>5.5856282919914601E-3</v>
      </c>
      <c r="O14" s="538"/>
      <c r="P14" s="509"/>
      <c r="Q14" s="544"/>
      <c r="R14" s="515"/>
      <c r="S14" s="535"/>
      <c r="T14" s="57"/>
      <c r="U14" s="57"/>
      <c r="V14" s="56"/>
      <c r="W14" s="57"/>
      <c r="X14" s="57"/>
      <c r="Y14" s="69"/>
    </row>
    <row r="15" spans="1:25" s="1" customFormat="1" ht="16.5" thickBot="1" x14ac:dyDescent="0.3">
      <c r="A15" s="113"/>
      <c r="B15" s="227" t="s">
        <v>91</v>
      </c>
      <c r="C15" s="228"/>
      <c r="D15" s="229"/>
      <c r="E15" s="230"/>
      <c r="F15" s="230"/>
      <c r="G15" s="214"/>
      <c r="H15" s="43"/>
      <c r="I15" s="43"/>
      <c r="J15" s="43"/>
      <c r="K15" s="206"/>
      <c r="L15" s="210"/>
      <c r="M15" s="202"/>
      <c r="N15" s="115"/>
      <c r="O15" s="203" t="s">
        <v>28</v>
      </c>
      <c r="P15" s="329">
        <v>0</v>
      </c>
      <c r="Q15" s="108">
        <v>1</v>
      </c>
      <c r="R15" s="74">
        <v>0</v>
      </c>
      <c r="S15" s="421" t="s">
        <v>86</v>
      </c>
      <c r="T15" s="57"/>
      <c r="U15" s="57"/>
      <c r="V15" s="56"/>
      <c r="W15" s="57"/>
      <c r="X15" s="57"/>
      <c r="Y15" s="69"/>
    </row>
    <row r="16" spans="1:25" s="1" customFormat="1" ht="16.5" thickBot="1" x14ac:dyDescent="0.3">
      <c r="A16" s="113"/>
      <c r="B16" s="227" t="s">
        <v>87</v>
      </c>
      <c r="C16" s="228"/>
      <c r="D16" s="231"/>
      <c r="E16" s="232"/>
      <c r="F16" s="232"/>
      <c r="G16" s="215"/>
      <c r="H16" s="43"/>
      <c r="I16" s="83"/>
      <c r="J16" s="83"/>
      <c r="K16" s="119"/>
      <c r="L16" s="81"/>
      <c r="M16" s="208"/>
      <c r="N16" s="312"/>
      <c r="O16" s="209" t="s">
        <v>28</v>
      </c>
      <c r="P16" s="330">
        <v>0</v>
      </c>
      <c r="Q16" s="107">
        <v>0.05</v>
      </c>
      <c r="R16" s="108">
        <v>0</v>
      </c>
      <c r="S16" s="109" t="s">
        <v>88</v>
      </c>
      <c r="T16" s="57"/>
      <c r="U16" s="57"/>
      <c r="V16" s="56"/>
      <c r="W16" s="57"/>
      <c r="X16" s="57"/>
      <c r="Y16" s="69"/>
    </row>
    <row r="17" spans="1:25" s="52" customFormat="1" ht="16.5" thickBot="1" x14ac:dyDescent="0.25">
      <c r="A17" s="39"/>
      <c r="B17" s="224" t="s">
        <v>89</v>
      </c>
      <c r="C17" s="225"/>
      <c r="D17" s="226"/>
      <c r="E17" s="226"/>
      <c r="F17" s="226"/>
      <c r="G17" s="42"/>
      <c r="H17" s="43">
        <f>G17/$G$47</f>
        <v>0</v>
      </c>
      <c r="I17" s="70"/>
      <c r="J17" s="44"/>
      <c r="K17" s="44"/>
      <c r="L17" s="211"/>
      <c r="M17" s="87"/>
      <c r="N17" s="88"/>
      <c r="O17" s="94"/>
      <c r="P17" s="331">
        <v>0</v>
      </c>
      <c r="Q17" s="423"/>
      <c r="R17" s="213"/>
      <c r="S17" s="90"/>
      <c r="T17" s="51"/>
      <c r="U17" s="51"/>
      <c r="V17" s="51"/>
      <c r="W17" s="51"/>
      <c r="X17" s="51"/>
      <c r="Y17" s="51"/>
    </row>
    <row r="18" spans="1:25" s="1" customFormat="1" ht="16.5" thickBot="1" x14ac:dyDescent="0.3">
      <c r="A18" s="8"/>
      <c r="B18" s="233" t="s">
        <v>96</v>
      </c>
      <c r="C18" s="228"/>
      <c r="D18" s="234"/>
      <c r="E18" s="230"/>
      <c r="F18" s="232"/>
      <c r="G18" s="200"/>
      <c r="H18" s="218"/>
      <c r="I18" s="124"/>
      <c r="J18" s="124"/>
      <c r="K18" s="219"/>
      <c r="L18" s="317"/>
      <c r="M18" s="220"/>
      <c r="N18" s="43"/>
      <c r="O18" s="212" t="s">
        <v>90</v>
      </c>
      <c r="P18" s="330">
        <v>0</v>
      </c>
      <c r="Q18" s="108">
        <v>0.6</v>
      </c>
      <c r="R18" s="108">
        <v>0</v>
      </c>
      <c r="S18" s="207" t="s">
        <v>95</v>
      </c>
      <c r="T18" s="93"/>
      <c r="U18" s="57"/>
      <c r="V18" s="56"/>
      <c r="W18" s="56"/>
      <c r="X18" s="56"/>
      <c r="Y18" s="58"/>
    </row>
    <row r="19" spans="1:25" s="52" customFormat="1" ht="16.5" thickBot="1" x14ac:dyDescent="0.25">
      <c r="A19" s="39"/>
      <c r="B19" s="224" t="s">
        <v>92</v>
      </c>
      <c r="C19" s="225"/>
      <c r="D19" s="226"/>
      <c r="E19" s="226"/>
      <c r="F19" s="226"/>
      <c r="G19" s="221">
        <f>SUM(G20:G24)</f>
        <v>40160033.649999999</v>
      </c>
      <c r="H19" s="124">
        <f t="shared" ref="H19:H24" si="2">G19/$G$47</f>
        <v>0.16195184108385544</v>
      </c>
      <c r="I19" s="217"/>
      <c r="J19" s="44"/>
      <c r="K19" s="102"/>
      <c r="L19" s="44"/>
      <c r="M19" s="87"/>
      <c r="N19" s="88"/>
      <c r="O19" s="41"/>
      <c r="P19" s="332"/>
      <c r="Q19" s="423"/>
      <c r="R19" s="424"/>
      <c r="S19" s="94"/>
      <c r="T19" s="51"/>
      <c r="U19" s="51"/>
      <c r="V19" s="51"/>
      <c r="W19" s="51"/>
      <c r="X19" s="51"/>
      <c r="Y19" s="51"/>
    </row>
    <row r="20" spans="1:25" s="1" customFormat="1" ht="18" x14ac:dyDescent="0.25">
      <c r="A20" s="8"/>
      <c r="B20" s="53" t="s">
        <v>141</v>
      </c>
      <c r="C20" s="91" t="s">
        <v>40</v>
      </c>
      <c r="D20" s="60" t="s">
        <v>41</v>
      </c>
      <c r="E20" s="85" t="s">
        <v>42</v>
      </c>
      <c r="F20" s="85" t="s">
        <v>42</v>
      </c>
      <c r="G20" s="404">
        <v>11997.4</v>
      </c>
      <c r="H20" s="95">
        <f t="shared" si="2"/>
        <v>4.8381458918908229E-5</v>
      </c>
      <c r="I20" s="405">
        <v>5.3E-3</v>
      </c>
      <c r="J20" s="277"/>
      <c r="K20" s="269"/>
      <c r="L20" s="259" t="s">
        <v>43</v>
      </c>
      <c r="M20" s="406">
        <v>6997570434.0200005</v>
      </c>
      <c r="N20" s="399">
        <f>G20/M20</f>
        <v>1.7145093590873185E-6</v>
      </c>
      <c r="O20" s="504" t="s">
        <v>36</v>
      </c>
      <c r="P20" s="527">
        <f>SUM(G20:G24)/G47</f>
        <v>0.16195184108385544</v>
      </c>
      <c r="Q20" s="530">
        <v>0.4</v>
      </c>
      <c r="R20" s="530">
        <v>0.3</v>
      </c>
      <c r="S20" s="533" t="s">
        <v>149</v>
      </c>
      <c r="T20" s="57"/>
      <c r="U20" s="57"/>
      <c r="V20" s="56"/>
      <c r="W20" s="57"/>
      <c r="X20" s="57"/>
      <c r="Y20" s="69"/>
    </row>
    <row r="21" spans="1:25" s="1" customFormat="1" ht="18" x14ac:dyDescent="0.25">
      <c r="A21" s="8"/>
      <c r="B21" s="53" t="s">
        <v>126</v>
      </c>
      <c r="C21" s="91" t="s">
        <v>38</v>
      </c>
      <c r="D21" s="92" t="s">
        <v>39</v>
      </c>
      <c r="E21" s="78" t="s">
        <v>25</v>
      </c>
      <c r="F21" s="78" t="s">
        <v>26</v>
      </c>
      <c r="G21" s="383">
        <v>8775684.8300000001</v>
      </c>
      <c r="H21" s="97">
        <f t="shared" si="2"/>
        <v>3.5389370620962139E-2</v>
      </c>
      <c r="I21" s="378">
        <v>1.6500000000000001E-2</v>
      </c>
      <c r="J21" s="80"/>
      <c r="K21" s="271"/>
      <c r="L21" s="272" t="s">
        <v>34</v>
      </c>
      <c r="M21" s="384">
        <v>495849711.75999999</v>
      </c>
      <c r="N21" s="400">
        <f>G21/M21</f>
        <v>1.7698275549764938E-2</v>
      </c>
      <c r="O21" s="505"/>
      <c r="P21" s="528"/>
      <c r="Q21" s="531"/>
      <c r="R21" s="531"/>
      <c r="S21" s="534"/>
      <c r="T21" s="57"/>
      <c r="U21" s="57"/>
      <c r="V21" s="56"/>
      <c r="W21" s="57"/>
      <c r="X21" s="57"/>
      <c r="Y21" s="69"/>
    </row>
    <row r="22" spans="1:25" s="1" customFormat="1" ht="18.75" thickBot="1" x14ac:dyDescent="0.3">
      <c r="A22" s="8"/>
      <c r="B22" s="53" t="s">
        <v>127</v>
      </c>
      <c r="C22" s="118" t="s">
        <v>128</v>
      </c>
      <c r="D22" s="65" t="s">
        <v>129</v>
      </c>
      <c r="E22" s="79" t="s">
        <v>25</v>
      </c>
      <c r="F22" s="79" t="s">
        <v>25</v>
      </c>
      <c r="G22" s="411">
        <v>21729232.690000001</v>
      </c>
      <c r="H22" s="97">
        <f t="shared" si="2"/>
        <v>8.7626650668530925E-2</v>
      </c>
      <c r="I22" s="412">
        <v>9.0969999999999992E-3</v>
      </c>
      <c r="J22" s="367"/>
      <c r="K22" s="261"/>
      <c r="L22" s="259" t="s">
        <v>27</v>
      </c>
      <c r="M22" s="384">
        <v>2532522078.1799998</v>
      </c>
      <c r="N22" s="400">
        <f>G22/M22</f>
        <v>8.5800763109697125E-3</v>
      </c>
      <c r="O22" s="505"/>
      <c r="P22" s="528"/>
      <c r="Q22" s="531"/>
      <c r="R22" s="531"/>
      <c r="S22" s="534"/>
      <c r="T22" s="57"/>
      <c r="U22" s="57"/>
      <c r="V22" s="56"/>
      <c r="W22" s="57"/>
      <c r="X22" s="57"/>
      <c r="Y22" s="69"/>
    </row>
    <row r="23" spans="1:25" s="1" customFormat="1" ht="18.75" thickBot="1" x14ac:dyDescent="0.3">
      <c r="A23" s="8"/>
      <c r="B23" s="53" t="s">
        <v>130</v>
      </c>
      <c r="C23" s="75" t="s">
        <v>24</v>
      </c>
      <c r="D23" s="60" t="s">
        <v>44</v>
      </c>
      <c r="E23" s="85" t="s">
        <v>25</v>
      </c>
      <c r="F23" s="85" t="s">
        <v>26</v>
      </c>
      <c r="G23" s="377">
        <v>8571745.8699999992</v>
      </c>
      <c r="H23" s="95">
        <f t="shared" si="2"/>
        <v>3.4566953729368556E-2</v>
      </c>
      <c r="I23" s="416">
        <v>1.03E-2</v>
      </c>
      <c r="J23" s="80"/>
      <c r="K23" s="258"/>
      <c r="L23" s="259" t="s">
        <v>45</v>
      </c>
      <c r="M23" s="414">
        <v>1526063252.26</v>
      </c>
      <c r="N23" s="399">
        <f t="shared" ref="N23:N24" si="3">G23/M23</f>
        <v>5.6169007787231643E-3</v>
      </c>
      <c r="O23" s="505"/>
      <c r="P23" s="528"/>
      <c r="Q23" s="531"/>
      <c r="R23" s="531"/>
      <c r="S23" s="534"/>
      <c r="T23" s="57"/>
      <c r="U23" s="57"/>
      <c r="V23" s="56"/>
      <c r="W23" s="57"/>
      <c r="X23" s="57"/>
      <c r="Y23" s="69"/>
    </row>
    <row r="24" spans="1:25" s="1" customFormat="1" ht="18.75" thickBot="1" x14ac:dyDescent="0.3">
      <c r="A24" s="8">
        <v>23</v>
      </c>
      <c r="B24" s="53" t="s">
        <v>131</v>
      </c>
      <c r="C24" s="75" t="s">
        <v>132</v>
      </c>
      <c r="D24" s="60" t="s">
        <v>133</v>
      </c>
      <c r="E24" s="85" t="s">
        <v>25</v>
      </c>
      <c r="F24" s="85" t="s">
        <v>25</v>
      </c>
      <c r="G24" s="404">
        <v>1071372.8600000001</v>
      </c>
      <c r="H24" s="95">
        <f t="shared" si="2"/>
        <v>4.3204846060749189E-3</v>
      </c>
      <c r="I24" s="412">
        <v>5.1999999999999998E-3</v>
      </c>
      <c r="J24" s="86"/>
      <c r="K24" s="258"/>
      <c r="L24" s="315" t="s">
        <v>43</v>
      </c>
      <c r="M24" s="415">
        <v>9610867395.25</v>
      </c>
      <c r="N24" s="401">
        <f t="shared" si="3"/>
        <v>1.1147514744917894E-4</v>
      </c>
      <c r="O24" s="506"/>
      <c r="P24" s="529"/>
      <c r="Q24" s="532"/>
      <c r="R24" s="532"/>
      <c r="S24" s="535"/>
      <c r="T24" s="57"/>
      <c r="U24" s="57"/>
      <c r="V24" s="56"/>
      <c r="W24" s="57"/>
      <c r="X24" s="57"/>
      <c r="Y24" s="69"/>
    </row>
    <row r="25" spans="1:25" s="1" customFormat="1" ht="16.5" thickBot="1" x14ac:dyDescent="0.3">
      <c r="A25" s="8"/>
      <c r="B25" s="233" t="s">
        <v>93</v>
      </c>
      <c r="C25" s="228"/>
      <c r="D25" s="231"/>
      <c r="E25" s="235"/>
      <c r="F25" s="235"/>
      <c r="G25" s="214"/>
      <c r="H25" s="218"/>
      <c r="I25" s="43"/>
      <c r="J25" s="43"/>
      <c r="K25" s="206"/>
      <c r="L25" s="222"/>
      <c r="M25" s="204"/>
      <c r="N25" s="115"/>
      <c r="O25" s="212" t="s">
        <v>36</v>
      </c>
      <c r="P25" s="330">
        <v>0</v>
      </c>
      <c r="Q25" s="107">
        <v>0.4</v>
      </c>
      <c r="R25" s="108">
        <v>0</v>
      </c>
      <c r="S25" s="109" t="s">
        <v>94</v>
      </c>
      <c r="T25" s="57"/>
      <c r="U25" s="57"/>
      <c r="V25" s="56"/>
      <c r="W25" s="57"/>
      <c r="X25" s="57"/>
      <c r="Y25" s="69"/>
    </row>
    <row r="26" spans="1:25" s="1" customFormat="1" ht="16.5" thickBot="1" x14ac:dyDescent="0.3">
      <c r="A26" s="8"/>
      <c r="B26" s="233" t="s">
        <v>97</v>
      </c>
      <c r="C26" s="228"/>
      <c r="D26" s="229"/>
      <c r="E26" s="235"/>
      <c r="F26" s="235"/>
      <c r="G26" s="214"/>
      <c r="H26" s="124"/>
      <c r="I26" s="43"/>
      <c r="J26" s="124"/>
      <c r="K26" s="100"/>
      <c r="L26" s="222"/>
      <c r="M26" s="101"/>
      <c r="N26" s="322"/>
      <c r="O26" s="275" t="s">
        <v>36</v>
      </c>
      <c r="P26" s="330">
        <v>0</v>
      </c>
      <c r="Q26" s="108">
        <v>0.2</v>
      </c>
      <c r="R26" s="74">
        <v>0</v>
      </c>
      <c r="S26" s="109" t="s">
        <v>98</v>
      </c>
      <c r="T26" s="57"/>
      <c r="U26" s="57"/>
      <c r="V26" s="56"/>
      <c r="W26" s="57"/>
      <c r="X26" s="57"/>
      <c r="Y26" s="69"/>
    </row>
    <row r="27" spans="1:25" s="1" customFormat="1" ht="16.5" thickBot="1" x14ac:dyDescent="0.3">
      <c r="A27" s="8"/>
      <c r="B27" s="233" t="s">
        <v>99</v>
      </c>
      <c r="C27" s="228"/>
      <c r="D27" s="229"/>
      <c r="E27" s="235"/>
      <c r="F27" s="235"/>
      <c r="G27" s="205"/>
      <c r="H27" s="124"/>
      <c r="I27" s="43"/>
      <c r="J27" s="124"/>
      <c r="K27" s="100"/>
      <c r="L27" s="222"/>
      <c r="M27" s="101"/>
      <c r="N27" s="322"/>
      <c r="O27" s="201" t="s">
        <v>36</v>
      </c>
      <c r="P27" s="418">
        <v>0</v>
      </c>
      <c r="Q27" s="73">
        <v>0.15</v>
      </c>
      <c r="R27" s="74">
        <v>0</v>
      </c>
      <c r="S27" s="109" t="s">
        <v>101</v>
      </c>
      <c r="T27" s="57"/>
      <c r="U27" s="57"/>
      <c r="V27" s="56"/>
      <c r="W27" s="57"/>
      <c r="X27" s="57"/>
      <c r="Y27" s="69"/>
    </row>
    <row r="28" spans="1:25" s="1" customFormat="1" ht="16.5" thickBot="1" x14ac:dyDescent="0.3">
      <c r="A28" s="8"/>
      <c r="B28" s="233" t="s">
        <v>100</v>
      </c>
      <c r="C28" s="228"/>
      <c r="D28" s="229"/>
      <c r="E28" s="235"/>
      <c r="F28" s="235"/>
      <c r="G28" s="205"/>
      <c r="H28" s="124"/>
      <c r="I28" s="43"/>
      <c r="J28" s="124"/>
      <c r="K28" s="100"/>
      <c r="L28" s="222"/>
      <c r="M28" s="101"/>
      <c r="N28" s="322"/>
      <c r="O28" s="201" t="s">
        <v>36</v>
      </c>
      <c r="P28" s="418">
        <v>0</v>
      </c>
      <c r="Q28" s="73">
        <v>0.15</v>
      </c>
      <c r="R28" s="74">
        <v>0</v>
      </c>
      <c r="S28" s="109" t="s">
        <v>102</v>
      </c>
      <c r="T28" s="57"/>
      <c r="U28" s="57"/>
      <c r="V28" s="56"/>
      <c r="W28" s="57"/>
      <c r="X28" s="57"/>
      <c r="Y28" s="69"/>
    </row>
    <row r="29" spans="1:25" s="52" customFormat="1" ht="16.5" thickBot="1" x14ac:dyDescent="0.25">
      <c r="A29" s="39"/>
      <c r="B29" s="224" t="s">
        <v>103</v>
      </c>
      <c r="C29" s="225"/>
      <c r="D29" s="226"/>
      <c r="E29" s="226"/>
      <c r="F29" s="226"/>
      <c r="G29" s="42"/>
      <c r="H29" s="43">
        <f>G29/$G$47</f>
        <v>0</v>
      </c>
      <c r="I29" s="70"/>
      <c r="J29" s="44"/>
      <c r="K29" s="44"/>
      <c r="L29" s="102"/>
      <c r="M29" s="103"/>
      <c r="N29" s="323"/>
      <c r="O29" s="104"/>
      <c r="P29" s="334">
        <v>0</v>
      </c>
      <c r="Q29" s="423"/>
      <c r="R29" s="424"/>
      <c r="S29" s="90"/>
      <c r="T29" s="51"/>
      <c r="U29" s="51"/>
      <c r="V29" s="51"/>
      <c r="W29" s="51"/>
      <c r="X29" s="51"/>
      <c r="Y29" s="51"/>
    </row>
    <row r="30" spans="1:25" s="1" customFormat="1" ht="16.5" thickBot="1" x14ac:dyDescent="0.3">
      <c r="A30" s="8"/>
      <c r="B30" s="236" t="s">
        <v>104</v>
      </c>
      <c r="C30" s="228"/>
      <c r="D30" s="237"/>
      <c r="E30" s="235"/>
      <c r="F30" s="235"/>
      <c r="G30" s="199"/>
      <c r="H30" s="124"/>
      <c r="I30" s="223"/>
      <c r="J30" s="124"/>
      <c r="K30" s="100"/>
      <c r="L30" s="222"/>
      <c r="M30" s="101"/>
      <c r="N30" s="115"/>
      <c r="O30" s="217"/>
      <c r="P30" s="330">
        <v>0</v>
      </c>
      <c r="Q30" s="107">
        <v>0.05</v>
      </c>
      <c r="R30" s="108">
        <v>0.01</v>
      </c>
      <c r="S30" s="421" t="s">
        <v>106</v>
      </c>
      <c r="T30" s="57"/>
      <c r="U30" s="57"/>
      <c r="V30" s="56"/>
      <c r="W30" s="57"/>
      <c r="X30" s="56"/>
      <c r="Y30" s="58"/>
    </row>
    <row r="31" spans="1:25" s="1" customFormat="1" ht="16.5" thickBot="1" x14ac:dyDescent="0.3">
      <c r="A31" s="8"/>
      <c r="B31" s="236" t="s">
        <v>105</v>
      </c>
      <c r="C31" s="228"/>
      <c r="D31" s="237"/>
      <c r="E31" s="235"/>
      <c r="F31" s="235"/>
      <c r="G31" s="199"/>
      <c r="H31" s="124"/>
      <c r="I31" s="223"/>
      <c r="J31" s="124"/>
      <c r="K31" s="100"/>
      <c r="L31" s="222"/>
      <c r="M31" s="101"/>
      <c r="N31" s="322"/>
      <c r="O31" s="217"/>
      <c r="P31" s="330">
        <v>0</v>
      </c>
      <c r="Q31" s="107">
        <v>0.05</v>
      </c>
      <c r="R31" s="108">
        <v>0</v>
      </c>
      <c r="S31" s="421" t="s">
        <v>107</v>
      </c>
      <c r="T31" s="57"/>
      <c r="U31" s="57"/>
      <c r="V31" s="56"/>
      <c r="W31" s="57"/>
      <c r="X31" s="56"/>
      <c r="Y31" s="58"/>
    </row>
    <row r="32" spans="1:25" s="52" customFormat="1" ht="16.5" thickBot="1" x14ac:dyDescent="0.25">
      <c r="A32" s="39"/>
      <c r="B32" s="224" t="s">
        <v>108</v>
      </c>
      <c r="C32" s="225"/>
      <c r="D32" s="226"/>
      <c r="E32" s="226"/>
      <c r="F32" s="226"/>
      <c r="G32" s="42"/>
      <c r="H32" s="43">
        <f>G32/$G$47</f>
        <v>0</v>
      </c>
      <c r="I32" s="70"/>
      <c r="J32" s="44"/>
      <c r="K32" s="44"/>
      <c r="L32" s="44"/>
      <c r="M32" s="87"/>
      <c r="N32" s="323"/>
      <c r="O32" s="41"/>
      <c r="P32" s="337">
        <f>SUM((G4+G9+G15+G16+G17+G18+G19+G25+G26+G27+G29+G30+G31)/G47)</f>
        <v>0.90846299838611821</v>
      </c>
      <c r="Q32" s="423"/>
      <c r="R32" s="424"/>
      <c r="S32" s="90"/>
      <c r="T32" s="51"/>
      <c r="U32" s="51"/>
      <c r="V32" s="51"/>
      <c r="W32" s="51"/>
      <c r="X32" s="51"/>
      <c r="Y32" s="51"/>
    </row>
    <row r="33" spans="1:25" s="1" customFormat="1" ht="16.5" thickBot="1" x14ac:dyDescent="0.3">
      <c r="A33" s="113"/>
      <c r="B33" s="224" t="s">
        <v>111</v>
      </c>
      <c r="C33" s="225"/>
      <c r="D33" s="226"/>
      <c r="E33" s="226"/>
      <c r="F33" s="226"/>
      <c r="G33" s="42"/>
      <c r="H33" s="115">
        <f>G33/$G$47</f>
        <v>0</v>
      </c>
      <c r="I33" s="70"/>
      <c r="J33" s="44"/>
      <c r="K33" s="44"/>
      <c r="L33" s="44"/>
      <c r="M33" s="87"/>
      <c r="N33" s="88"/>
      <c r="O33" s="41"/>
      <c r="P33" s="334">
        <v>0</v>
      </c>
      <c r="Q33" s="48"/>
      <c r="R33" s="424"/>
      <c r="S33" s="90"/>
      <c r="T33" s="57"/>
      <c r="U33" s="57"/>
      <c r="V33" s="56"/>
      <c r="W33" s="57"/>
      <c r="X33" s="57"/>
      <c r="Y33" s="112"/>
    </row>
    <row r="34" spans="1:25" s="52" customFormat="1" ht="16.5" thickBot="1" x14ac:dyDescent="0.25">
      <c r="A34" s="39"/>
      <c r="B34" s="224" t="s">
        <v>109</v>
      </c>
      <c r="C34" s="225"/>
      <c r="D34" s="226"/>
      <c r="E34" s="226"/>
      <c r="F34" s="226"/>
      <c r="G34" s="42">
        <f>SUM(G35:G37)</f>
        <v>16160888.01</v>
      </c>
      <c r="H34" s="43">
        <f>G34/$G$47</f>
        <v>6.5171398748803205E-2</v>
      </c>
      <c r="I34" s="70"/>
      <c r="J34" s="28"/>
      <c r="K34" s="44"/>
      <c r="L34" s="44"/>
      <c r="M34" s="87"/>
      <c r="N34" s="88"/>
      <c r="O34" s="104"/>
      <c r="P34" s="332"/>
      <c r="Q34" s="423"/>
      <c r="R34" s="423"/>
      <c r="S34" s="94"/>
      <c r="T34" s="51"/>
      <c r="U34" s="51"/>
      <c r="V34" s="51"/>
      <c r="W34" s="51"/>
      <c r="X34" s="51"/>
      <c r="Y34" s="51"/>
    </row>
    <row r="35" spans="1:25" s="1" customFormat="1" ht="18" x14ac:dyDescent="0.25">
      <c r="A35" s="8">
        <v>36</v>
      </c>
      <c r="B35" s="53" t="s">
        <v>134</v>
      </c>
      <c r="C35" s="118"/>
      <c r="D35" s="60" t="s">
        <v>49</v>
      </c>
      <c r="E35" s="85" t="s">
        <v>50</v>
      </c>
      <c r="F35" s="85" t="s">
        <v>51</v>
      </c>
      <c r="G35" s="377">
        <v>7526100.6200000001</v>
      </c>
      <c r="H35" s="61">
        <f t="shared" ref="H35:H37" si="4">G35/$G$47</f>
        <v>3.0350219878148583E-2</v>
      </c>
      <c r="I35" s="378">
        <v>0.03</v>
      </c>
      <c r="J35" s="111"/>
      <c r="K35" s="263"/>
      <c r="L35" s="262" t="s">
        <v>135</v>
      </c>
      <c r="M35" s="379">
        <v>588053816.77999997</v>
      </c>
      <c r="N35" s="318">
        <f t="shared" ref="N35:N37" si="5">G35/M35</f>
        <v>1.2798319482408241E-2</v>
      </c>
      <c r="O35" s="536" t="s">
        <v>47</v>
      </c>
      <c r="P35" s="507">
        <f>SUM(G35:G37)/G47</f>
        <v>6.5171398748803205E-2</v>
      </c>
      <c r="Q35" s="530">
        <v>0.2</v>
      </c>
      <c r="R35" s="542">
        <v>0.15</v>
      </c>
      <c r="S35" s="533" t="s">
        <v>145</v>
      </c>
      <c r="T35" s="57"/>
      <c r="U35" s="57"/>
      <c r="V35" s="56"/>
      <c r="W35" s="57"/>
      <c r="X35" s="57"/>
      <c r="Y35" s="112"/>
    </row>
    <row r="36" spans="1:25" s="1" customFormat="1" ht="18" x14ac:dyDescent="0.25">
      <c r="A36" s="8"/>
      <c r="B36" s="53" t="s">
        <v>134</v>
      </c>
      <c r="C36" s="118"/>
      <c r="D36" s="60" t="s">
        <v>175</v>
      </c>
      <c r="E36" s="85" t="s">
        <v>26</v>
      </c>
      <c r="F36" s="85" t="s">
        <v>32</v>
      </c>
      <c r="G36" s="377">
        <v>4077175.15</v>
      </c>
      <c r="H36" s="61">
        <f t="shared" si="4"/>
        <v>1.6441869240411966E-2</v>
      </c>
      <c r="I36" s="378">
        <v>1.29E-2</v>
      </c>
      <c r="J36" s="111"/>
      <c r="K36" s="265"/>
      <c r="L36" s="262" t="s">
        <v>46</v>
      </c>
      <c r="M36" s="379">
        <v>338055223.95999998</v>
      </c>
      <c r="N36" s="264">
        <f t="shared" si="5"/>
        <v>1.2060677844997382E-2</v>
      </c>
      <c r="O36" s="537"/>
      <c r="P36" s="508"/>
      <c r="Q36" s="531"/>
      <c r="R36" s="543"/>
      <c r="S36" s="534"/>
      <c r="T36" s="57"/>
      <c r="U36" s="57"/>
      <c r="V36" s="56"/>
      <c r="W36" s="57"/>
      <c r="X36" s="57"/>
      <c r="Y36" s="112"/>
    </row>
    <row r="37" spans="1:25" s="1" customFormat="1" ht="18.75" thickBot="1" x14ac:dyDescent="0.3">
      <c r="A37" s="8"/>
      <c r="B37" s="266" t="s">
        <v>137</v>
      </c>
      <c r="C37" s="77"/>
      <c r="D37" s="67" t="s">
        <v>171</v>
      </c>
      <c r="E37" s="110">
        <v>0.54</v>
      </c>
      <c r="F37" s="99" t="s">
        <v>32</v>
      </c>
      <c r="G37" s="381">
        <v>4557612.24</v>
      </c>
      <c r="H37" s="121">
        <f t="shared" si="4"/>
        <v>1.8379309630242664E-2</v>
      </c>
      <c r="I37" s="380">
        <v>1.38E-2</v>
      </c>
      <c r="J37" s="111"/>
      <c r="K37" s="216"/>
      <c r="L37" s="267" t="s">
        <v>138</v>
      </c>
      <c r="M37" s="382">
        <v>344077075.33999997</v>
      </c>
      <c r="N37" s="61">
        <f t="shared" si="5"/>
        <v>1.32459049632888E-2</v>
      </c>
      <c r="O37" s="538"/>
      <c r="P37" s="509"/>
      <c r="Q37" s="532"/>
      <c r="R37" s="544"/>
      <c r="S37" s="535"/>
      <c r="T37" s="57"/>
      <c r="U37" s="57"/>
      <c r="V37" s="56"/>
      <c r="W37" s="57"/>
      <c r="X37" s="57"/>
      <c r="Y37" s="112"/>
    </row>
    <row r="38" spans="1:25" s="1" customFormat="1" ht="16.5" thickBot="1" x14ac:dyDescent="0.3">
      <c r="A38" s="8"/>
      <c r="B38" s="240" t="s">
        <v>112</v>
      </c>
      <c r="C38" s="228"/>
      <c r="D38" s="239"/>
      <c r="E38" s="230"/>
      <c r="F38" s="232"/>
      <c r="G38" s="238"/>
      <c r="H38" s="124"/>
      <c r="I38" s="83"/>
      <c r="J38" s="273"/>
      <c r="K38" s="206"/>
      <c r="L38" s="274"/>
      <c r="M38" s="204"/>
      <c r="N38" s="43"/>
      <c r="O38" s="275" t="s">
        <v>47</v>
      </c>
      <c r="P38" s="336">
        <v>0</v>
      </c>
      <c r="Q38" s="73">
        <v>0.2</v>
      </c>
      <c r="R38" s="74">
        <v>0</v>
      </c>
      <c r="S38" s="276" t="s">
        <v>110</v>
      </c>
      <c r="T38" s="57"/>
      <c r="U38" s="57"/>
      <c r="V38" s="56"/>
      <c r="W38" s="57"/>
      <c r="X38" s="57"/>
      <c r="Y38" s="112"/>
    </row>
    <row r="39" spans="1:25" s="52" customFormat="1" ht="16.5" thickBot="1" x14ac:dyDescent="0.25">
      <c r="A39" s="39"/>
      <c r="B39" s="240" t="s">
        <v>113</v>
      </c>
      <c r="C39" s="225"/>
      <c r="D39" s="226"/>
      <c r="E39" s="226"/>
      <c r="F39" s="226"/>
      <c r="G39" s="42">
        <f>SUM(G40:G41)</f>
        <v>6530645.25</v>
      </c>
      <c r="H39" s="43">
        <f>G39/$G$47</f>
        <v>2.6335884848120276E-2</v>
      </c>
      <c r="I39" s="278"/>
      <c r="J39" s="44"/>
      <c r="K39" s="44"/>
      <c r="L39" s="44"/>
      <c r="M39" s="87"/>
      <c r="N39" s="254"/>
      <c r="O39" s="104"/>
      <c r="P39" s="334"/>
      <c r="Q39" s="423"/>
      <c r="R39" s="424"/>
      <c r="S39" s="116"/>
      <c r="T39" s="51"/>
      <c r="U39" s="51"/>
      <c r="V39" s="51"/>
      <c r="W39" s="51"/>
      <c r="X39" s="51"/>
      <c r="Y39" s="51"/>
    </row>
    <row r="40" spans="1:25" s="1" customFormat="1" ht="18.75" thickBot="1" x14ac:dyDescent="0.3">
      <c r="A40" s="8"/>
      <c r="B40" s="268" t="s">
        <v>139</v>
      </c>
      <c r="C40" s="66" t="s">
        <v>48</v>
      </c>
      <c r="D40" s="122" t="s">
        <v>53</v>
      </c>
      <c r="E40" s="79" t="s">
        <v>25</v>
      </c>
      <c r="F40" s="79" t="s">
        <v>26</v>
      </c>
      <c r="G40" s="385">
        <v>3315764.25</v>
      </c>
      <c r="H40" s="64">
        <f t="shared" ref="H40:H41" si="6">G40/$G$47</f>
        <v>1.3371356447743642E-2</v>
      </c>
      <c r="I40" s="386">
        <v>-2.7663E-2</v>
      </c>
      <c r="J40" s="277"/>
      <c r="K40" s="269"/>
      <c r="L40" s="123" t="s">
        <v>43</v>
      </c>
      <c r="M40" s="387">
        <v>1200877159.3299999</v>
      </c>
      <c r="N40" s="61">
        <f t="shared" ref="N40:N41" si="7">G40/M40</f>
        <v>2.7611185908889713E-3</v>
      </c>
      <c r="O40" s="525" t="s">
        <v>150</v>
      </c>
      <c r="P40" s="507">
        <f>SUM(G40:G41)/G47</f>
        <v>2.6335884848120276E-2</v>
      </c>
      <c r="Q40" s="510">
        <v>0.1</v>
      </c>
      <c r="R40" s="510">
        <v>0.03</v>
      </c>
      <c r="S40" s="519"/>
      <c r="T40" s="57"/>
      <c r="U40" s="57"/>
      <c r="V40" s="56"/>
      <c r="W40" s="57"/>
      <c r="X40" s="57"/>
      <c r="Y40" s="69"/>
    </row>
    <row r="41" spans="1:25" s="1" customFormat="1" ht="18.75" thickBot="1" x14ac:dyDescent="0.3">
      <c r="A41" s="8"/>
      <c r="B41" s="279" t="s">
        <v>130</v>
      </c>
      <c r="C41" s="118"/>
      <c r="D41" s="67" t="s">
        <v>55</v>
      </c>
      <c r="E41" s="85" t="s">
        <v>56</v>
      </c>
      <c r="F41" s="85" t="s">
        <v>56</v>
      </c>
      <c r="G41" s="417">
        <v>3214881</v>
      </c>
      <c r="H41" s="68">
        <f t="shared" si="6"/>
        <v>1.2964528400376634E-2</v>
      </c>
      <c r="I41" s="380">
        <v>1.2999999999999999E-3</v>
      </c>
      <c r="J41" s="105"/>
      <c r="K41" s="270"/>
      <c r="L41" s="262" t="s">
        <v>46</v>
      </c>
      <c r="M41" s="429">
        <v>34817161.630000003</v>
      </c>
      <c r="N41" s="376">
        <f t="shared" si="7"/>
        <v>9.2336102355624436E-2</v>
      </c>
      <c r="O41" s="526"/>
      <c r="P41" s="509"/>
      <c r="Q41" s="512"/>
      <c r="R41" s="512"/>
      <c r="S41" s="520"/>
      <c r="T41" s="57"/>
      <c r="U41" s="57"/>
      <c r="V41" s="56"/>
      <c r="W41" s="57"/>
      <c r="X41" s="57"/>
      <c r="Y41" s="69"/>
    </row>
    <row r="42" spans="1:25" s="1" customFormat="1" ht="16.5" thickBot="1" x14ac:dyDescent="0.3">
      <c r="A42" s="8"/>
      <c r="B42" s="240" t="s">
        <v>114</v>
      </c>
      <c r="C42" s="225"/>
      <c r="D42" s="226"/>
      <c r="E42" s="226"/>
      <c r="F42" s="226"/>
      <c r="G42" s="42"/>
      <c r="H42" s="43">
        <f>G42/$G$47</f>
        <v>0</v>
      </c>
      <c r="I42" s="70"/>
      <c r="J42" s="71"/>
      <c r="K42" s="71"/>
      <c r="L42" s="44"/>
      <c r="M42" s="72"/>
      <c r="N42" s="88"/>
      <c r="O42" s="319" t="s">
        <v>151</v>
      </c>
      <c r="P42" s="335">
        <v>0</v>
      </c>
      <c r="Q42" s="324">
        <v>0.05</v>
      </c>
      <c r="R42" s="320">
        <v>0.03</v>
      </c>
      <c r="S42" s="11" t="s">
        <v>152</v>
      </c>
      <c r="T42" s="57"/>
      <c r="U42" s="57"/>
      <c r="V42" s="56"/>
      <c r="W42" s="57"/>
      <c r="X42" s="57"/>
      <c r="Y42" s="69"/>
    </row>
    <row r="43" spans="1:25" s="52" customFormat="1" ht="16.5" thickBot="1" x14ac:dyDescent="0.25">
      <c r="A43" s="39"/>
      <c r="B43" s="240" t="s">
        <v>115</v>
      </c>
      <c r="C43" s="225"/>
      <c r="D43" s="226"/>
      <c r="E43" s="226"/>
      <c r="F43" s="226"/>
      <c r="G43" s="42"/>
      <c r="H43" s="43">
        <f>G43/$G$47</f>
        <v>0</v>
      </c>
      <c r="I43" s="70"/>
      <c r="J43" s="44"/>
      <c r="K43" s="44"/>
      <c r="L43" s="44"/>
      <c r="M43" s="87"/>
      <c r="N43" s="254"/>
      <c r="O43" s="321" t="s">
        <v>153</v>
      </c>
      <c r="P43" s="335">
        <v>0</v>
      </c>
      <c r="Q43" s="320">
        <v>0.05</v>
      </c>
      <c r="R43" s="320">
        <v>0.03</v>
      </c>
      <c r="S43" s="11" t="s">
        <v>154</v>
      </c>
      <c r="T43" s="51"/>
      <c r="U43" s="51"/>
      <c r="V43" s="51"/>
      <c r="W43" s="51"/>
      <c r="X43" s="51"/>
      <c r="Y43" s="51"/>
    </row>
    <row r="44" spans="1:25" s="1" customFormat="1" ht="12" customHeight="1" thickBot="1" x14ac:dyDescent="0.3">
      <c r="A44" s="113"/>
      <c r="B44" s="114" t="s">
        <v>57</v>
      </c>
      <c r="C44" s="40"/>
      <c r="D44" s="41"/>
      <c r="E44" s="126"/>
      <c r="F44" s="126"/>
      <c r="G44" s="127">
        <f>SUM(G45:G46)</f>
        <v>7369.33</v>
      </c>
      <c r="H44" s="128">
        <f>G44/$G$47</f>
        <v>2.9718016958247455E-5</v>
      </c>
      <c r="I44" s="129"/>
      <c r="J44" s="130"/>
      <c r="K44" s="130"/>
      <c r="L44" s="130"/>
      <c r="M44" s="131"/>
      <c r="N44" s="88"/>
      <c r="O44" s="132"/>
      <c r="P44" s="339">
        <f>SUM((G32+G33+G34+G39+G43)/G47)</f>
        <v>9.1507283596923478E-2</v>
      </c>
      <c r="Q44" s="133"/>
      <c r="R44" s="134">
        <f>SUM(P32+P44+P45+P46)/100</f>
        <v>0.01</v>
      </c>
      <c r="S44" s="50"/>
      <c r="T44" s="125"/>
      <c r="U44" s="125"/>
      <c r="V44" s="125"/>
      <c r="W44" s="125"/>
      <c r="X44" s="125"/>
    </row>
    <row r="45" spans="1:25" s="1" customFormat="1" ht="15.75" thickBot="1" x14ac:dyDescent="0.3">
      <c r="A45" s="113">
        <v>46</v>
      </c>
      <c r="B45" s="284" t="s">
        <v>143</v>
      </c>
      <c r="C45" s="285"/>
      <c r="D45" s="286"/>
      <c r="E45" s="287"/>
      <c r="F45" s="287"/>
      <c r="G45" s="288">
        <v>0</v>
      </c>
      <c r="H45" s="83"/>
      <c r="I45" s="96">
        <v>0</v>
      </c>
      <c r="J45" s="136"/>
      <c r="K45" s="137"/>
      <c r="L45" s="138"/>
      <c r="M45" s="139"/>
      <c r="N45" s="140"/>
      <c r="O45" s="521" t="s">
        <v>58</v>
      </c>
      <c r="P45" s="523">
        <f>SUM(G45:G46)/G47</f>
        <v>2.9718016958247455E-5</v>
      </c>
      <c r="Q45" s="141"/>
      <c r="R45" s="142"/>
      <c r="S45" s="135"/>
      <c r="T45" s="125"/>
      <c r="U45" s="125"/>
      <c r="V45" s="125"/>
      <c r="W45" s="125"/>
      <c r="X45" s="125"/>
    </row>
    <row r="46" spans="1:25" s="125" customFormat="1" ht="15.75" thickBot="1" x14ac:dyDescent="0.3">
      <c r="A46" s="8">
        <v>47</v>
      </c>
      <c r="B46" s="284" t="s">
        <v>144</v>
      </c>
      <c r="C46" s="285"/>
      <c r="D46" s="286"/>
      <c r="E46" s="287"/>
      <c r="F46" s="287"/>
      <c r="G46" s="428">
        <v>7369.33</v>
      </c>
      <c r="H46" s="83"/>
      <c r="I46" s="62">
        <v>0</v>
      </c>
      <c r="J46" s="144"/>
      <c r="K46" s="145"/>
      <c r="L46" s="146"/>
      <c r="M46" s="147"/>
      <c r="N46" s="148"/>
      <c r="O46" s="522"/>
      <c r="P46" s="524"/>
      <c r="Q46" s="149"/>
      <c r="R46" s="150"/>
      <c r="S46" s="143"/>
      <c r="T46" s="151"/>
      <c r="V46" s="152"/>
      <c r="Y46" s="1"/>
    </row>
    <row r="47" spans="1:25" s="125" customFormat="1" ht="16.5" thickBot="1" x14ac:dyDescent="0.3">
      <c r="A47" s="8"/>
      <c r="B47" s="153" t="s">
        <v>59</v>
      </c>
      <c r="C47" s="154"/>
      <c r="D47" s="155"/>
      <c r="E47" s="156"/>
      <c r="F47" s="156"/>
      <c r="G47" s="157">
        <f>G4+G9+G15+G16+G17+G18+G19+G25+G26+G27+G28+G29+G30+G31+G32+G33+G34+G38+G39+G42+G43+G44</f>
        <v>247975159.66</v>
      </c>
      <c r="H47" s="158">
        <f>G47/$G$47</f>
        <v>1</v>
      </c>
      <c r="I47" s="159"/>
      <c r="J47" s="160"/>
      <c r="K47" s="161"/>
      <c r="L47" s="162"/>
      <c r="M47" s="163"/>
      <c r="N47" s="164"/>
      <c r="O47" s="165"/>
      <c r="P47" s="334">
        <f>SUM(P5+P10+P15+P16+P17+P18+P20+P25+P26+P27+P28+P29+P30+P31+P33+P35+P38+P40+P42+P43+P45)</f>
        <v>0.96065419006735353</v>
      </c>
      <c r="Q47" s="166"/>
      <c r="R47" s="338">
        <f>P32+P44</f>
        <v>0.99997028198304172</v>
      </c>
      <c r="S47" s="167"/>
      <c r="T47" s="151"/>
      <c r="V47" s="152"/>
      <c r="Y47" s="1"/>
    </row>
    <row r="48" spans="1:25" s="125" customFormat="1" x14ac:dyDescent="0.25">
      <c r="A48" s="1"/>
      <c r="B48" s="168" t="str">
        <f>'[3]FFIN2 Março 2018'!$B$71</f>
        <v>Meta Atuarial(INPC 0,07 + 0,486755)</v>
      </c>
      <c r="C48" s="168"/>
      <c r="D48" s="169"/>
      <c r="E48" s="169">
        <f>'[3]FFIN2 Março 2018'!$E$71</f>
        <v>5.5999999999999999E-3</v>
      </c>
      <c r="F48" s="169"/>
      <c r="G48" s="168" t="s">
        <v>60</v>
      </c>
      <c r="H48" s="170"/>
      <c r="I48" s="171"/>
      <c r="J48" s="168" t="s">
        <v>61</v>
      </c>
      <c r="K48" s="170">
        <f>'[3]FFIN2 Março 2018'!$K$72</f>
        <v>5.4860000000000004E-3</v>
      </c>
      <c r="L48" s="171"/>
      <c r="M48" s="172" t="s">
        <v>62</v>
      </c>
      <c r="N48" s="170">
        <f>'[3]FFIN2 Março 2018'!$N$72</f>
        <v>5.4099999999999999E-3</v>
      </c>
      <c r="O48" s="1"/>
      <c r="P48" s="170" t="s">
        <v>167</v>
      </c>
      <c r="Q48" s="1"/>
      <c r="R48" s="170"/>
      <c r="S48" s="173">
        <v>4.3499999999999997E-2</v>
      </c>
      <c r="Y48" s="1"/>
    </row>
    <row r="49" spans="1:25" s="125" customFormat="1" x14ac:dyDescent="0.25">
      <c r="A49" s="1"/>
      <c r="B49" s="168" t="s">
        <v>169</v>
      </c>
      <c r="C49" s="174"/>
      <c r="D49" s="168"/>
      <c r="E49" s="175">
        <v>1.3100000000000001E-2</v>
      </c>
      <c r="F49" s="170"/>
      <c r="G49" s="168" t="s">
        <v>63</v>
      </c>
      <c r="H49" s="170">
        <f>'[3]FFIN2 Março 2018'!$H$73</f>
        <v>4.3E-3</v>
      </c>
      <c r="I49" s="168"/>
      <c r="J49" s="168" t="s">
        <v>64</v>
      </c>
      <c r="K49" s="170">
        <f>'[3]FFIN2 Março 2018'!$K$73</f>
        <v>7.1640000000000002E-3</v>
      </c>
      <c r="L49" s="170"/>
      <c r="M49" s="172" t="s">
        <v>65</v>
      </c>
      <c r="N49" s="170">
        <f>'[3]FFIN2 Março 2018'!$N$73</f>
        <v>1.315E-2</v>
      </c>
      <c r="O49" s="1"/>
      <c r="P49" s="178" t="s">
        <v>66</v>
      </c>
      <c r="Q49" s="1"/>
      <c r="R49" s="1"/>
      <c r="S49" s="173">
        <v>1.9099999999999999E-2</v>
      </c>
      <c r="Y49" s="1"/>
    </row>
    <row r="50" spans="1:25" s="125" customFormat="1" x14ac:dyDescent="0.25">
      <c r="A50" s="1"/>
      <c r="B50" s="168" t="s">
        <v>67</v>
      </c>
      <c r="C50" s="1"/>
      <c r="D50" s="170"/>
      <c r="E50" s="170">
        <f>'[3]FFIN2 Março 2018'!$E$73</f>
        <v>1.8E-3</v>
      </c>
      <c r="F50" s="170"/>
      <c r="G50" s="168" t="s">
        <v>68</v>
      </c>
      <c r="H50" s="170">
        <f>'[3]FFIN2 Março 2018'!$H$74</f>
        <v>-3.7000000000000002E-3</v>
      </c>
      <c r="I50" s="168"/>
      <c r="J50" s="168" t="s">
        <v>69</v>
      </c>
      <c r="K50" s="170">
        <f>'[3]FFIN2 Março 2018'!$K$74</f>
        <v>5.3920000000000001E-3</v>
      </c>
      <c r="L50" s="170"/>
      <c r="M50" s="172" t="s">
        <v>70</v>
      </c>
      <c r="N50" s="170">
        <f>'[3]FFIN2 Março 2018'!$N$74</f>
        <v>5.2880000000000002E-3</v>
      </c>
      <c r="O50" s="170"/>
      <c r="P50" s="178" t="s">
        <v>168</v>
      </c>
      <c r="Q50" s="1"/>
      <c r="R50" s="1"/>
      <c r="S50" s="173">
        <v>0.124</v>
      </c>
      <c r="T50" s="177"/>
      <c r="Y50" s="1"/>
    </row>
    <row r="51" spans="1:25" s="125" customFormat="1" x14ac:dyDescent="0.25">
      <c r="A51" s="1"/>
      <c r="B51" s="168" t="s">
        <v>54</v>
      </c>
      <c r="C51" s="170"/>
      <c r="D51" s="170"/>
      <c r="E51" s="178">
        <f>'[3]FFIN2 Março 2018'!$E$74</f>
        <v>4.5999999999999999E-3</v>
      </c>
      <c r="F51" s="178"/>
      <c r="G51" s="168" t="s">
        <v>71</v>
      </c>
      <c r="H51" s="170">
        <f>'[3]FFIN2 Março 2018'!$H$75</f>
        <v>-6.1000000000000004E-3</v>
      </c>
      <c r="I51" s="168"/>
      <c r="J51" s="168" t="s">
        <v>72</v>
      </c>
      <c r="K51" s="170">
        <f>'[3]FFIN2 Março 2018'!$K$75</f>
        <v>5.5659999999999998E-3</v>
      </c>
      <c r="L51" s="170"/>
      <c r="M51" s="172" t="s">
        <v>73</v>
      </c>
      <c r="N51" s="170">
        <f>'[3]FFIN2 Março 2018'!$N$75</f>
        <v>4.5820000000000001E-3</v>
      </c>
      <c r="O51" s="170"/>
      <c r="P51" s="178" t="s">
        <v>74</v>
      </c>
      <c r="Q51" s="1"/>
      <c r="R51" s="1"/>
      <c r="S51" s="173">
        <v>7.5600000000000001E-2</v>
      </c>
      <c r="Y51" s="1"/>
    </row>
    <row r="52" spans="1:25" s="125" customFormat="1" x14ac:dyDescent="0.25">
      <c r="A52" s="1"/>
      <c r="B52" s="168" t="s">
        <v>45</v>
      </c>
      <c r="C52" s="1"/>
      <c r="D52" s="170"/>
      <c r="E52" s="178">
        <f>'[3]FFIN2 Março 2018'!$E$75</f>
        <v>3.2000000000000002E-3</v>
      </c>
      <c r="F52" s="178"/>
      <c r="G52" s="168" t="s">
        <v>52</v>
      </c>
      <c r="H52" s="170" t="str">
        <f>'[3]FFIN2 Março 2018'!$H$76</f>
        <v xml:space="preserve"> </v>
      </c>
      <c r="I52" s="1"/>
      <c r="J52" s="168" t="s">
        <v>75</v>
      </c>
      <c r="K52" s="170">
        <f>'[3]FFIN2 Março 2018'!$K$76</f>
        <v>0</v>
      </c>
      <c r="L52" s="1"/>
      <c r="M52" s="172" t="s">
        <v>76</v>
      </c>
      <c r="N52" s="170">
        <f>'[3]FFIN2 Março 2018'!$N$76</f>
        <v>0</v>
      </c>
      <c r="O52" s="170"/>
      <c r="P52" s="178"/>
      <c r="Q52" s="1"/>
      <c r="R52" s="1"/>
      <c r="S52" s="179">
        <f>G47</f>
        <v>247975159.66</v>
      </c>
      <c r="T52" s="180"/>
      <c r="Y52" s="1"/>
    </row>
    <row r="53" spans="1:25" s="125" customFormat="1" x14ac:dyDescent="0.25">
      <c r="A53" s="1"/>
      <c r="B53" s="1"/>
      <c r="C53" s="1"/>
      <c r="D53" s="1"/>
      <c r="E53" s="1"/>
      <c r="F53" s="1"/>
      <c r="G53" s="168"/>
      <c r="H53" s="170" t="s">
        <v>77</v>
      </c>
      <c r="I53" s="1"/>
      <c r="J53" s="168"/>
      <c r="K53" s="170"/>
      <c r="L53" s="1"/>
      <c r="M53" s="172"/>
      <c r="N53" s="181"/>
      <c r="O53" s="170"/>
      <c r="P53" s="181"/>
      <c r="Q53" s="1"/>
      <c r="R53" s="1"/>
      <c r="S53" s="182">
        <f>'[3]FFIN2 Março 2018'!$G$70</f>
        <v>782015535.8900001</v>
      </c>
      <c r="Y53" s="1"/>
    </row>
    <row r="54" spans="1:25" s="1" customFormat="1" x14ac:dyDescent="0.25">
      <c r="D54" t="s">
        <v>78</v>
      </c>
      <c r="G54" s="183">
        <f>'[4]Consolidado Março 2018'!$G$97</f>
        <v>1029990695.5500001</v>
      </c>
      <c r="H54" s="170"/>
      <c r="J54" s="168"/>
      <c r="K54" s="170"/>
      <c r="M54" s="184"/>
      <c r="N54" s="181"/>
      <c r="O54" s="170"/>
      <c r="P54" s="181"/>
      <c r="S54" s="185">
        <f>S52+S53</f>
        <v>1029990695.5500001</v>
      </c>
      <c r="T54" s="125"/>
      <c r="U54" s="125"/>
      <c r="V54" s="125"/>
      <c r="W54" s="125"/>
      <c r="X54" s="125"/>
    </row>
    <row r="55" spans="1:25" s="7" customFormat="1" x14ac:dyDescent="0.25">
      <c r="A55"/>
      <c r="B55"/>
      <c r="C55"/>
      <c r="D55"/>
      <c r="E55"/>
      <c r="F55"/>
      <c r="G55" s="186"/>
      <c r="H55" s="187"/>
      <c r="I55" s="1"/>
      <c r="J55" s="188"/>
      <c r="K55" s="187"/>
      <c r="L55"/>
      <c r="M55" s="184"/>
      <c r="N55" s="190"/>
      <c r="O55"/>
      <c r="P55" s="190"/>
      <c r="Q55"/>
      <c r="R55"/>
      <c r="S55" s="185"/>
      <c r="Y55"/>
    </row>
    <row r="56" spans="1:25" s="7" customFormat="1" x14ac:dyDescent="0.25">
      <c r="A56"/>
      <c r="B56" s="168"/>
      <c r="C56" s="168"/>
      <c r="D56" s="168"/>
      <c r="E56" s="169"/>
      <c r="F56" s="169"/>
      <c r="G56" s="186"/>
      <c r="H56" s="190"/>
      <c r="I56" s="1"/>
      <c r="J56"/>
      <c r="K56"/>
      <c r="L56"/>
      <c r="M56" s="184"/>
      <c r="N56" s="190"/>
      <c r="O56"/>
      <c r="P56" s="190"/>
      <c r="Q56"/>
      <c r="R56"/>
      <c r="S56"/>
      <c r="Y56"/>
    </row>
    <row r="57" spans="1:25" s="7" customFormat="1" x14ac:dyDescent="0.25">
      <c r="A57"/>
      <c r="B57" s="168"/>
      <c r="C57" s="168"/>
      <c r="D57" s="168"/>
      <c r="E57" s="170"/>
      <c r="F57" s="170"/>
      <c r="G57" s="191"/>
      <c r="H57" s="190"/>
      <c r="I57" s="1"/>
      <c r="J57"/>
      <c r="K57"/>
      <c r="L57"/>
      <c r="M57" s="184"/>
      <c r="N57" s="190"/>
      <c r="O57"/>
      <c r="P57" s="190"/>
      <c r="Q57"/>
      <c r="R57"/>
      <c r="S57"/>
      <c r="Y57"/>
    </row>
    <row r="58" spans="1:25" s="7" customFormat="1" x14ac:dyDescent="0.25">
      <c r="A58"/>
      <c r="B58" s="168"/>
      <c r="C58" s="1"/>
      <c r="D58" s="170"/>
      <c r="E58" s="170"/>
      <c r="F58" s="170"/>
      <c r="G58" s="186"/>
      <c r="H58" s="190"/>
      <c r="I58" s="1"/>
      <c r="J58"/>
      <c r="K58"/>
      <c r="L58"/>
      <c r="M58" s="184"/>
      <c r="N58" s="190"/>
      <c r="O58"/>
      <c r="P58" s="190"/>
      <c r="Q58"/>
      <c r="R58"/>
      <c r="S58"/>
      <c r="Y58"/>
    </row>
    <row r="59" spans="1:25" s="7" customFormat="1" x14ac:dyDescent="0.25">
      <c r="A59"/>
      <c r="B59" s="168"/>
      <c r="C59" s="170"/>
      <c r="D59" s="170"/>
      <c r="E59" s="176"/>
      <c r="F59" s="176"/>
      <c r="G59" s="186"/>
      <c r="H59" s="190"/>
      <c r="I59" s="1"/>
      <c r="J59"/>
      <c r="K59"/>
      <c r="L59"/>
      <c r="M59" s="184" t="s">
        <v>79</v>
      </c>
      <c r="N59" s="190"/>
      <c r="O59"/>
      <c r="P59" s="190"/>
      <c r="Q59"/>
      <c r="R59"/>
      <c r="S59"/>
      <c r="Y59"/>
    </row>
    <row r="60" spans="1:25" s="7" customFormat="1" x14ac:dyDescent="0.25">
      <c r="A60"/>
      <c r="B60" s="168" t="s">
        <v>36</v>
      </c>
      <c r="C60" s="1"/>
      <c r="D60" s="170" t="s">
        <v>80</v>
      </c>
      <c r="E60" s="192">
        <v>1.3299999999999999E-2</v>
      </c>
      <c r="F60" s="1"/>
      <c r="G60" s="186">
        <f>G4+G9+G17+G19+G29</f>
        <v>225276257.06999999</v>
      </c>
      <c r="H60" s="190">
        <f>G60/G63</f>
        <v>0.90846299838611821</v>
      </c>
      <c r="I60" s="1"/>
      <c r="J60" t="s">
        <v>36</v>
      </c>
      <c r="K60"/>
      <c r="L60"/>
      <c r="M60" s="426">
        <f>'[4]Consolidado fevereiro 2018'!$M$104</f>
        <v>838658112.35000002</v>
      </c>
      <c r="N60" s="190">
        <f>M60/M63</f>
        <v>0.81890513514275298</v>
      </c>
      <c r="O60"/>
      <c r="P60" s="190"/>
      <c r="Q60"/>
      <c r="R60"/>
      <c r="S60"/>
      <c r="Y60"/>
    </row>
    <row r="61" spans="1:25" s="7" customFormat="1" x14ac:dyDescent="0.25">
      <c r="A61"/>
      <c r="B61" t="s">
        <v>47</v>
      </c>
      <c r="C61"/>
      <c r="D61" s="170" t="s">
        <v>80</v>
      </c>
      <c r="E61" s="192">
        <v>1.0800000000000001E-2</v>
      </c>
      <c r="F61">
        <v>3.71</v>
      </c>
      <c r="G61" s="186">
        <f>G32++G33+G34+G39+G43</f>
        <v>22691533.259999998</v>
      </c>
      <c r="H61" s="190">
        <f>G61/G63</f>
        <v>9.1507283596923478E-2</v>
      </c>
      <c r="I61" s="1"/>
      <c r="J61" t="s">
        <v>47</v>
      </c>
      <c r="K61"/>
      <c r="L61"/>
      <c r="M61" s="426">
        <f>'[4]Consolidado fevereiro 2018'!$M$105</f>
        <v>184803995.55999997</v>
      </c>
      <c r="N61" s="190">
        <f>M61/M63</f>
        <v>0.18045129323905537</v>
      </c>
      <c r="O61"/>
      <c r="P61" s="190"/>
      <c r="Q61"/>
      <c r="R61"/>
      <c r="S61"/>
      <c r="Y61"/>
    </row>
    <row r="62" spans="1:25" s="7" customFormat="1" x14ac:dyDescent="0.25">
      <c r="A62"/>
      <c r="B62" t="s">
        <v>81</v>
      </c>
      <c r="C62"/>
      <c r="D62"/>
      <c r="E62" s="194"/>
      <c r="F62"/>
      <c r="G62" s="186">
        <f>G44</f>
        <v>7369.33</v>
      </c>
      <c r="H62" s="190">
        <f>G62/G63</f>
        <v>2.9718016958247455E-5</v>
      </c>
      <c r="I62" s="1"/>
      <c r="J62" t="s">
        <v>82</v>
      </c>
      <c r="K62"/>
      <c r="L62"/>
      <c r="M62" s="426">
        <f>'[4]Consolidado fevereiro 2018'!$M$106</f>
        <v>659095.34000000008</v>
      </c>
      <c r="N62" s="190">
        <f>M62/M63</f>
        <v>6.4357161819166746E-4</v>
      </c>
      <c r="O62"/>
      <c r="P62" s="190"/>
      <c r="Q62"/>
      <c r="R62"/>
      <c r="S62"/>
      <c r="Y62"/>
    </row>
    <row r="63" spans="1:25" s="7" customFormat="1" x14ac:dyDescent="0.25">
      <c r="A63"/>
      <c r="B63"/>
      <c r="C63"/>
      <c r="D63"/>
      <c r="E63" s="192">
        <v>1.3100000000000001E-2</v>
      </c>
      <c r="F63">
        <v>3.19</v>
      </c>
      <c r="G63" s="186">
        <f>G60+G61+G62</f>
        <v>247975159.66</v>
      </c>
      <c r="H63" s="190">
        <f>SUM(H60:H62)</f>
        <v>1</v>
      </c>
      <c r="I63" s="1"/>
      <c r="J63" s="7" t="s">
        <v>83</v>
      </c>
      <c r="M63" s="426">
        <f>M60+M61+M62</f>
        <v>1024121203.25</v>
      </c>
      <c r="N63" s="190">
        <f>N60+N61+N62</f>
        <v>1</v>
      </c>
      <c r="O63"/>
      <c r="P63" s="190"/>
      <c r="Q63"/>
      <c r="R63"/>
      <c r="S63"/>
      <c r="Y63"/>
    </row>
    <row r="64" spans="1:25" s="7" customFormat="1" x14ac:dyDescent="0.25">
      <c r="A64"/>
      <c r="B64"/>
      <c r="C64"/>
      <c r="D64"/>
      <c r="E64" s="195"/>
      <c r="F64"/>
      <c r="G64" s="1"/>
      <c r="H64" s="190"/>
      <c r="I64" s="1"/>
      <c r="J64"/>
      <c r="K64"/>
      <c r="L64"/>
      <c r="M64" s="184"/>
      <c r="N64" s="190"/>
      <c r="O64"/>
      <c r="P64" s="190"/>
      <c r="Q64"/>
      <c r="R64"/>
      <c r="S64"/>
      <c r="Y64"/>
    </row>
    <row r="65" spans="1:25" s="7" customFormat="1" x14ac:dyDescent="0.25">
      <c r="A65"/>
      <c r="B65"/>
      <c r="C65"/>
      <c r="D65"/>
      <c r="E65"/>
      <c r="F65"/>
      <c r="G65" s="1"/>
      <c r="H65" s="190"/>
      <c r="I65" s="1"/>
      <c r="J65"/>
      <c r="K65"/>
      <c r="L65"/>
      <c r="M65" s="184"/>
      <c r="N65" s="190"/>
      <c r="O65"/>
      <c r="P65" s="190"/>
      <c r="Q65"/>
      <c r="R65"/>
      <c r="S65"/>
      <c r="Y65"/>
    </row>
    <row r="66" spans="1:25" s="7" customFormat="1" x14ac:dyDescent="0.25">
      <c r="A66"/>
      <c r="B66"/>
      <c r="C66"/>
      <c r="D66"/>
      <c r="E66"/>
      <c r="F66"/>
      <c r="G66" s="1"/>
      <c r="H66" s="190"/>
      <c r="I66" s="1"/>
      <c r="J66"/>
      <c r="K66"/>
      <c r="L66"/>
      <c r="M66" s="184"/>
      <c r="N66" s="190"/>
      <c r="O66"/>
      <c r="P66" s="190"/>
      <c r="Q66"/>
      <c r="R66"/>
      <c r="S66"/>
      <c r="Y66"/>
    </row>
  </sheetData>
  <mergeCells count="28">
    <mergeCell ref="S5:S8"/>
    <mergeCell ref="P3:R3"/>
    <mergeCell ref="O5:O8"/>
    <mergeCell ref="P5:P8"/>
    <mergeCell ref="Q5:Q8"/>
    <mergeCell ref="R5:R8"/>
    <mergeCell ref="O20:O24"/>
    <mergeCell ref="P20:P24"/>
    <mergeCell ref="Q20:Q24"/>
    <mergeCell ref="R20:R24"/>
    <mergeCell ref="S20:S24"/>
    <mergeCell ref="O10:O14"/>
    <mergeCell ref="P10:P14"/>
    <mergeCell ref="Q10:Q14"/>
    <mergeCell ref="R10:R14"/>
    <mergeCell ref="S10:S14"/>
    <mergeCell ref="R35:R37"/>
    <mergeCell ref="S35:S37"/>
    <mergeCell ref="O40:O41"/>
    <mergeCell ref="P40:P41"/>
    <mergeCell ref="Q40:Q41"/>
    <mergeCell ref="R40:R41"/>
    <mergeCell ref="S40:S41"/>
    <mergeCell ref="O45:O46"/>
    <mergeCell ref="P45:P46"/>
    <mergeCell ref="O35:O37"/>
    <mergeCell ref="P35:P37"/>
    <mergeCell ref="Q35:Q37"/>
  </mergeCells>
  <printOptions horizontalCentered="1"/>
  <pageMargins left="0" right="0" top="0" bottom="0" header="0.19685039370078741" footer="0.3937007874015748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topLeftCell="F40" zoomScaleNormal="100" workbookViewId="0">
      <selection activeCell="D31" sqref="D31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2.85546875" style="1" bestFit="1" customWidth="1"/>
    <col min="8" max="8" width="11.5703125" style="18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5" style="184" bestFit="1" customWidth="1"/>
    <col min="14" max="14" width="8.140625" style="190" bestFit="1" customWidth="1"/>
    <col min="15" max="15" width="15.5703125" customWidth="1"/>
    <col min="16" max="16" width="8.42578125" style="190" customWidth="1"/>
    <col min="17" max="17" width="5.5703125" customWidth="1"/>
    <col min="18" max="18" width="6.140625" bestFit="1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176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4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326" t="s">
        <v>8</v>
      </c>
      <c r="Q2" s="20"/>
      <c r="R2" s="21"/>
      <c r="S2" s="22" t="s">
        <v>9</v>
      </c>
      <c r="T2" s="7" t="s">
        <v>10</v>
      </c>
    </row>
    <row r="3" spans="1:25" ht="15.75" thickBot="1" x14ac:dyDescent="0.3">
      <c r="A3" s="8"/>
      <c r="B3" s="23"/>
      <c r="C3" s="24"/>
      <c r="D3" s="25"/>
      <c r="E3" s="26"/>
      <c r="F3" s="27"/>
      <c r="G3" s="28" t="s">
        <v>11</v>
      </c>
      <c r="H3" s="29" t="s">
        <v>12</v>
      </c>
      <c r="I3" s="30" t="s">
        <v>13</v>
      </c>
      <c r="J3" s="31" t="s">
        <v>14</v>
      </c>
      <c r="K3" s="32" t="s">
        <v>15</v>
      </c>
      <c r="L3" s="33"/>
      <c r="M3" s="34" t="s">
        <v>16</v>
      </c>
      <c r="N3" s="35" t="s">
        <v>17</v>
      </c>
      <c r="O3" s="36"/>
      <c r="P3" s="548" t="s">
        <v>18</v>
      </c>
      <c r="Q3" s="549"/>
      <c r="R3" s="550"/>
      <c r="S3" s="37" t="s">
        <v>19</v>
      </c>
      <c r="T3" s="38"/>
      <c r="U3" s="38"/>
      <c r="V3" s="38"/>
      <c r="W3" s="38"/>
      <c r="X3" s="38"/>
      <c r="Y3" s="38"/>
    </row>
    <row r="4" spans="1:25" s="52" customFormat="1" ht="12" customHeight="1" thickBot="1" x14ac:dyDescent="0.25">
      <c r="A4" s="39"/>
      <c r="B4" s="224" t="s">
        <v>84</v>
      </c>
      <c r="C4" s="225"/>
      <c r="D4" s="226"/>
      <c r="E4" s="226"/>
      <c r="F4" s="226"/>
      <c r="G4" s="42">
        <f>SUM(G5:G8)</f>
        <v>42389623.439999998</v>
      </c>
      <c r="H4" s="43">
        <f t="shared" ref="H4:H14" si="0">G4/$G$48</f>
        <v>0.16716116189936617</v>
      </c>
      <c r="I4" s="44"/>
      <c r="J4" s="44"/>
      <c r="K4" s="44"/>
      <c r="L4" s="44"/>
      <c r="M4" s="45"/>
      <c r="N4" s="46"/>
      <c r="O4" s="47"/>
      <c r="P4" s="327"/>
      <c r="Q4" s="431"/>
      <c r="R4" s="432"/>
      <c r="S4" s="90"/>
      <c r="T4" s="51"/>
      <c r="U4" s="51"/>
      <c r="V4" s="51"/>
      <c r="W4" s="51"/>
      <c r="X4" s="51"/>
      <c r="Y4" s="51"/>
    </row>
    <row r="5" spans="1:25" s="1" customFormat="1" ht="18" x14ac:dyDescent="0.25">
      <c r="A5" s="8"/>
      <c r="B5" s="251" t="s">
        <v>121</v>
      </c>
      <c r="C5" s="54" t="s">
        <v>20</v>
      </c>
      <c r="D5" s="55" t="s">
        <v>116</v>
      </c>
      <c r="E5" s="55"/>
      <c r="F5" s="55"/>
      <c r="G5" s="383">
        <v>13107153.73</v>
      </c>
      <c r="H5" s="64">
        <f t="shared" si="0"/>
        <v>5.1687343951088691E-2</v>
      </c>
      <c r="I5" s="416">
        <v>4.1000000000000003E-3</v>
      </c>
      <c r="J5" s="247" t="s">
        <v>21</v>
      </c>
      <c r="K5" s="247"/>
      <c r="L5" s="252"/>
      <c r="M5" s="98"/>
      <c r="N5" s="253"/>
      <c r="O5" s="551" t="s">
        <v>147</v>
      </c>
      <c r="P5" s="557">
        <f>SUM(G5:G8)/G48</f>
        <v>0.16716116189936617</v>
      </c>
      <c r="Q5" s="510">
        <v>1</v>
      </c>
      <c r="R5" s="542">
        <v>0.4</v>
      </c>
      <c r="S5" s="545" t="s">
        <v>148</v>
      </c>
      <c r="T5" s="57"/>
      <c r="U5" s="57"/>
      <c r="V5" s="56"/>
      <c r="W5" s="57"/>
      <c r="X5" s="57"/>
      <c r="Y5" s="69"/>
    </row>
    <row r="6" spans="1:25" s="1" customFormat="1" ht="18.75" thickBot="1" x14ac:dyDescent="0.3">
      <c r="A6" s="8"/>
      <c r="B6" s="249" t="s">
        <v>121</v>
      </c>
      <c r="C6" s="59" t="s">
        <v>20</v>
      </c>
      <c r="D6" s="60" t="s">
        <v>117</v>
      </c>
      <c r="E6" s="65"/>
      <c r="F6" s="65"/>
      <c r="G6" s="427">
        <v>6748831.1299999999</v>
      </c>
      <c r="H6" s="120">
        <f t="shared" si="0"/>
        <v>2.66136464918173E-2</v>
      </c>
      <c r="I6" s="405">
        <v>-2.0000000000000001E-4</v>
      </c>
      <c r="J6" s="241" t="s">
        <v>22</v>
      </c>
      <c r="K6" s="242"/>
      <c r="L6" s="243"/>
      <c r="M6" s="325">
        <v>-1.3630000000000001E-3</v>
      </c>
      <c r="N6" s="63"/>
      <c r="O6" s="552"/>
      <c r="P6" s="558"/>
      <c r="Q6" s="511"/>
      <c r="R6" s="543"/>
      <c r="S6" s="546"/>
      <c r="T6" s="57"/>
      <c r="U6" s="57"/>
      <c r="V6" s="56"/>
      <c r="W6" s="57"/>
      <c r="X6" s="57"/>
      <c r="Y6" s="69"/>
    </row>
    <row r="7" spans="1:25" s="1" customFormat="1" ht="18.75" thickBot="1" x14ac:dyDescent="0.3">
      <c r="A7" s="8"/>
      <c r="B7" s="249" t="s">
        <v>121</v>
      </c>
      <c r="C7" s="59" t="s">
        <v>20</v>
      </c>
      <c r="D7" s="60" t="s">
        <v>118</v>
      </c>
      <c r="E7" s="65"/>
      <c r="F7" s="65"/>
      <c r="G7" s="411">
        <v>11492139.18</v>
      </c>
      <c r="H7" s="61">
        <f t="shared" si="0"/>
        <v>4.5318622392509493E-2</v>
      </c>
      <c r="I7" s="412">
        <v>-1.4E-3</v>
      </c>
      <c r="J7" s="244" t="s">
        <v>119</v>
      </c>
      <c r="K7" s="242"/>
      <c r="L7" s="248"/>
      <c r="M7" s="98"/>
      <c r="N7" s="63"/>
      <c r="O7" s="552"/>
      <c r="P7" s="558"/>
      <c r="Q7" s="511"/>
      <c r="R7" s="543"/>
      <c r="S7" s="546"/>
      <c r="T7" s="57"/>
      <c r="U7" s="57"/>
      <c r="V7" s="56"/>
      <c r="W7" s="57"/>
      <c r="X7" s="57"/>
      <c r="Y7" s="69"/>
    </row>
    <row r="8" spans="1:25" s="1" customFormat="1" ht="18.75" thickBot="1" x14ac:dyDescent="0.3">
      <c r="A8" s="8"/>
      <c r="B8" s="250" t="s">
        <v>122</v>
      </c>
      <c r="C8" s="59" t="s">
        <v>20</v>
      </c>
      <c r="D8" s="67" t="s">
        <v>120</v>
      </c>
      <c r="E8" s="67"/>
      <c r="F8" s="67"/>
      <c r="G8" s="417">
        <v>11041499.4</v>
      </c>
      <c r="H8" s="121">
        <f t="shared" si="0"/>
        <v>4.3541549063950698E-2</v>
      </c>
      <c r="I8" s="380">
        <v>-6.0000000000000001E-3</v>
      </c>
      <c r="J8" s="245" t="s">
        <v>23</v>
      </c>
      <c r="K8" s="245"/>
      <c r="L8" s="246"/>
      <c r="M8" s="106"/>
      <c r="N8" s="63"/>
      <c r="O8" s="553"/>
      <c r="P8" s="559"/>
      <c r="Q8" s="512"/>
      <c r="R8" s="544"/>
      <c r="S8" s="547"/>
      <c r="T8" s="57"/>
      <c r="U8" s="57"/>
      <c r="V8" s="56"/>
      <c r="W8" s="57"/>
      <c r="X8" s="57"/>
      <c r="Y8" s="69"/>
    </row>
    <row r="9" spans="1:25" s="52" customFormat="1" ht="16.5" thickBot="1" x14ac:dyDescent="0.25">
      <c r="A9" s="39"/>
      <c r="B9" s="224" t="s">
        <v>85</v>
      </c>
      <c r="C9" s="225"/>
      <c r="D9" s="226"/>
      <c r="E9" s="226"/>
      <c r="F9" s="226"/>
      <c r="G9" s="42">
        <f>SUM(G10:G14)</f>
        <v>127882679.83999999</v>
      </c>
      <c r="H9" s="83">
        <f t="shared" si="0"/>
        <v>0.5042983545045393</v>
      </c>
      <c r="I9" s="70"/>
      <c r="J9" s="71"/>
      <c r="K9" s="44"/>
      <c r="L9" s="44"/>
      <c r="M9" s="87"/>
      <c r="N9" s="254"/>
      <c r="O9" s="47"/>
      <c r="P9" s="433"/>
      <c r="Q9" s="434"/>
      <c r="R9" s="435"/>
      <c r="S9" s="430"/>
      <c r="T9" s="51"/>
      <c r="U9" s="51"/>
      <c r="V9" s="51"/>
      <c r="W9" s="51"/>
      <c r="X9" s="51"/>
      <c r="Y9" s="51"/>
    </row>
    <row r="10" spans="1:25" s="52" customFormat="1" ht="18.75" thickBot="1" x14ac:dyDescent="0.3">
      <c r="A10" s="39"/>
      <c r="B10" s="388" t="s">
        <v>172</v>
      </c>
      <c r="C10" s="75" t="s">
        <v>24</v>
      </c>
      <c r="D10" s="389" t="s">
        <v>173</v>
      </c>
      <c r="E10" s="390" t="s">
        <v>25</v>
      </c>
      <c r="F10" s="390" t="s">
        <v>26</v>
      </c>
      <c r="G10" s="402">
        <v>14553181.74</v>
      </c>
      <c r="H10" s="396">
        <f t="shared" si="0"/>
        <v>5.738967633044488E-2</v>
      </c>
      <c r="I10" s="392">
        <v>4.0000000000000001E-3</v>
      </c>
      <c r="J10" s="313"/>
      <c r="K10" s="438"/>
      <c r="L10" s="440" t="s">
        <v>27</v>
      </c>
      <c r="M10" s="443">
        <v>1304781541.54</v>
      </c>
      <c r="N10" s="395">
        <f t="shared" ref="N10:N12" si="1">G10/M10</f>
        <v>1.1153730549271303E-2</v>
      </c>
      <c r="O10" s="536" t="s">
        <v>28</v>
      </c>
      <c r="P10" s="507">
        <f>SUM(G12:G14)/G48</f>
        <v>0.40723833113654129</v>
      </c>
      <c r="Q10" s="542">
        <v>1</v>
      </c>
      <c r="R10" s="513">
        <v>0.5</v>
      </c>
      <c r="S10" s="533" t="s">
        <v>146</v>
      </c>
      <c r="T10" s="51"/>
      <c r="U10" s="51"/>
      <c r="V10" s="51"/>
      <c r="W10" s="51"/>
      <c r="X10" s="51"/>
      <c r="Y10" s="51"/>
    </row>
    <row r="11" spans="1:25" s="52" customFormat="1" ht="18" x14ac:dyDescent="0.25">
      <c r="A11" s="39"/>
      <c r="B11" s="76" t="s">
        <v>172</v>
      </c>
      <c r="C11" s="75" t="s">
        <v>177</v>
      </c>
      <c r="D11" s="65" t="s">
        <v>178</v>
      </c>
      <c r="E11" s="117" t="s">
        <v>25</v>
      </c>
      <c r="F11" s="82" t="s">
        <v>26</v>
      </c>
      <c r="G11" s="411">
        <v>10059819.24</v>
      </c>
      <c r="H11" s="64">
        <f t="shared" si="0"/>
        <v>3.9670347037553177E-2</v>
      </c>
      <c r="I11" s="416">
        <v>6.0000000000000001E-3</v>
      </c>
      <c r="J11" s="277"/>
      <c r="K11" s="439"/>
      <c r="L11" s="441" t="s">
        <v>27</v>
      </c>
      <c r="M11" s="442">
        <v>3392469637.4099998</v>
      </c>
      <c r="N11" s="401">
        <f t="shared" si="1"/>
        <v>2.9653380325255396E-3</v>
      </c>
      <c r="O11" s="537"/>
      <c r="P11" s="508"/>
      <c r="Q11" s="543"/>
      <c r="R11" s="514"/>
      <c r="S11" s="534"/>
      <c r="T11" s="51"/>
      <c r="U11" s="51"/>
      <c r="V11" s="51"/>
      <c r="W11" s="51"/>
      <c r="X11" s="51"/>
      <c r="Y11" s="51"/>
    </row>
    <row r="12" spans="1:25" s="1" customFormat="1" ht="15.75" customHeight="1" thickBot="1" x14ac:dyDescent="0.3">
      <c r="A12" s="8"/>
      <c r="B12" s="76" t="s">
        <v>123</v>
      </c>
      <c r="C12" s="77" t="s">
        <v>29</v>
      </c>
      <c r="D12" s="55" t="s">
        <v>30</v>
      </c>
      <c r="E12" s="78" t="s">
        <v>25</v>
      </c>
      <c r="F12" s="79" t="s">
        <v>26</v>
      </c>
      <c r="G12" s="383">
        <v>18033291.629999999</v>
      </c>
      <c r="H12" s="64">
        <f t="shared" si="0"/>
        <v>7.1113299366947963E-2</v>
      </c>
      <c r="I12" s="378">
        <v>4.2760000000000003E-3</v>
      </c>
      <c r="J12" s="80"/>
      <c r="K12" s="255"/>
      <c r="L12" s="123" t="s">
        <v>31</v>
      </c>
      <c r="M12" s="408">
        <v>6009699793.3500004</v>
      </c>
      <c r="N12" s="400">
        <f t="shared" si="1"/>
        <v>3.0006975805937325E-3</v>
      </c>
      <c r="O12" s="537"/>
      <c r="P12" s="508"/>
      <c r="Q12" s="543"/>
      <c r="R12" s="514"/>
      <c r="S12" s="534"/>
      <c r="T12" s="57"/>
      <c r="U12" s="57"/>
      <c r="V12" s="56"/>
      <c r="W12" s="57"/>
      <c r="X12" s="57"/>
      <c r="Y12" s="69"/>
    </row>
    <row r="13" spans="1:25" s="1" customFormat="1" ht="18.75" thickBot="1" x14ac:dyDescent="0.3">
      <c r="A13" s="8"/>
      <c r="B13" s="84" t="s">
        <v>124</v>
      </c>
      <c r="C13" s="67" t="s">
        <v>33</v>
      </c>
      <c r="D13" s="60" t="s">
        <v>35</v>
      </c>
      <c r="E13" s="82" t="s">
        <v>25</v>
      </c>
      <c r="F13" s="82" t="s">
        <v>25</v>
      </c>
      <c r="G13" s="411">
        <v>42352453.149999999</v>
      </c>
      <c r="H13" s="64">
        <f t="shared" si="0"/>
        <v>0.16701458289346083</v>
      </c>
      <c r="I13" s="412">
        <v>3.5560000000000001E-3</v>
      </c>
      <c r="J13" s="257"/>
      <c r="K13" s="258"/>
      <c r="L13" s="259" t="s">
        <v>34</v>
      </c>
      <c r="M13" s="409">
        <v>3808020951.6799998</v>
      </c>
      <c r="N13" s="399">
        <f>G13/M13</f>
        <v>1.1121906546053849E-2</v>
      </c>
      <c r="O13" s="537"/>
      <c r="P13" s="508"/>
      <c r="Q13" s="543"/>
      <c r="R13" s="514"/>
      <c r="S13" s="534"/>
      <c r="T13" s="57"/>
      <c r="U13" s="57"/>
      <c r="V13" s="56"/>
      <c r="W13" s="57"/>
      <c r="X13" s="57"/>
      <c r="Y13" s="69"/>
    </row>
    <row r="14" spans="1:25" s="1" customFormat="1" ht="18.75" thickBot="1" x14ac:dyDescent="0.3">
      <c r="A14" s="8">
        <v>12</v>
      </c>
      <c r="B14" s="53" t="s">
        <v>124</v>
      </c>
      <c r="C14" s="118" t="s">
        <v>33</v>
      </c>
      <c r="D14" s="65" t="s">
        <v>125</v>
      </c>
      <c r="E14" s="82" t="s">
        <v>25</v>
      </c>
      <c r="F14" s="82" t="s">
        <v>25</v>
      </c>
      <c r="G14" s="411">
        <v>42883934.079999998</v>
      </c>
      <c r="H14" s="397">
        <f t="shared" si="0"/>
        <v>0.16911044887613247</v>
      </c>
      <c r="I14" s="412">
        <v>4.0530000000000002E-3</v>
      </c>
      <c r="J14" s="86"/>
      <c r="K14" s="261"/>
      <c r="L14" s="259" t="s">
        <v>34</v>
      </c>
      <c r="M14" s="410">
        <v>7947962119.2799997</v>
      </c>
      <c r="N14" s="399">
        <f>G14/M14</f>
        <v>5.3955886347234914E-3</v>
      </c>
      <c r="O14" s="538"/>
      <c r="P14" s="509"/>
      <c r="Q14" s="544"/>
      <c r="R14" s="515"/>
      <c r="S14" s="535"/>
      <c r="T14" s="57"/>
      <c r="U14" s="57"/>
      <c r="V14" s="56"/>
      <c r="W14" s="57"/>
      <c r="X14" s="57"/>
      <c r="Y14" s="69"/>
    </row>
    <row r="15" spans="1:25" s="1" customFormat="1" ht="16.5" thickBot="1" x14ac:dyDescent="0.3">
      <c r="A15" s="113"/>
      <c r="B15" s="227" t="s">
        <v>91</v>
      </c>
      <c r="C15" s="228"/>
      <c r="D15" s="229"/>
      <c r="E15" s="230"/>
      <c r="F15" s="230"/>
      <c r="G15" s="214"/>
      <c r="H15" s="43"/>
      <c r="I15" s="43"/>
      <c r="J15" s="43"/>
      <c r="K15" s="206"/>
      <c r="L15" s="210"/>
      <c r="M15" s="202"/>
      <c r="N15" s="115"/>
      <c r="O15" s="203" t="s">
        <v>28</v>
      </c>
      <c r="P15" s="329">
        <v>0</v>
      </c>
      <c r="Q15" s="108">
        <v>1</v>
      </c>
      <c r="R15" s="74">
        <v>0</v>
      </c>
      <c r="S15" s="436" t="s">
        <v>86</v>
      </c>
      <c r="T15" s="57"/>
      <c r="U15" s="57"/>
      <c r="V15" s="56"/>
      <c r="W15" s="57"/>
      <c r="X15" s="57"/>
      <c r="Y15" s="69"/>
    </row>
    <row r="16" spans="1:25" s="1" customFormat="1" ht="16.5" thickBot="1" x14ac:dyDescent="0.3">
      <c r="A16" s="113"/>
      <c r="B16" s="227" t="s">
        <v>87</v>
      </c>
      <c r="C16" s="228"/>
      <c r="D16" s="231"/>
      <c r="E16" s="232"/>
      <c r="F16" s="232"/>
      <c r="G16" s="215"/>
      <c r="H16" s="43"/>
      <c r="I16" s="83"/>
      <c r="J16" s="83"/>
      <c r="K16" s="119"/>
      <c r="L16" s="81"/>
      <c r="M16" s="208"/>
      <c r="N16" s="312"/>
      <c r="O16" s="209" t="s">
        <v>28</v>
      </c>
      <c r="P16" s="330">
        <v>0</v>
      </c>
      <c r="Q16" s="107">
        <v>0.05</v>
      </c>
      <c r="R16" s="108">
        <v>0</v>
      </c>
      <c r="S16" s="109" t="s">
        <v>88</v>
      </c>
      <c r="T16" s="57"/>
      <c r="U16" s="57"/>
      <c r="V16" s="56"/>
      <c r="W16" s="57"/>
      <c r="X16" s="57"/>
      <c r="Y16" s="69"/>
    </row>
    <row r="17" spans="1:25" s="52" customFormat="1" ht="16.5" thickBot="1" x14ac:dyDescent="0.25">
      <c r="A17" s="39"/>
      <c r="B17" s="224" t="s">
        <v>89</v>
      </c>
      <c r="C17" s="225"/>
      <c r="D17" s="226"/>
      <c r="E17" s="226"/>
      <c r="F17" s="226"/>
      <c r="G17" s="42">
        <f>SUM(G18:G20)</f>
        <v>50663401.470000006</v>
      </c>
      <c r="H17" s="43">
        <f>G17/$G$48</f>
        <v>0.19978835309746401</v>
      </c>
      <c r="I17" s="70"/>
      <c r="J17" s="44"/>
      <c r="K17" s="44"/>
      <c r="L17" s="211"/>
      <c r="M17" s="87"/>
      <c r="N17" s="88"/>
      <c r="O17" s="94"/>
      <c r="P17" s="331">
        <v>0</v>
      </c>
      <c r="Q17" s="431"/>
      <c r="R17" s="213"/>
      <c r="S17" s="90"/>
      <c r="T17" s="51"/>
      <c r="U17" s="51"/>
      <c r="V17" s="51"/>
      <c r="W17" s="51"/>
      <c r="X17" s="51"/>
      <c r="Y17" s="51"/>
    </row>
    <row r="18" spans="1:25" s="52" customFormat="1" ht="18.75" customHeight="1" thickBot="1" x14ac:dyDescent="0.3">
      <c r="A18" s="39"/>
      <c r="B18" s="76" t="s">
        <v>140</v>
      </c>
      <c r="C18" s="77" t="s">
        <v>29</v>
      </c>
      <c r="D18" s="55" t="s">
        <v>37</v>
      </c>
      <c r="E18" s="79" t="s">
        <v>25</v>
      </c>
      <c r="F18" s="117" t="s">
        <v>26</v>
      </c>
      <c r="G18" s="383">
        <v>20153504</v>
      </c>
      <c r="H18" s="97">
        <f>G18/$G$48</f>
        <v>7.9474240901242693E-2</v>
      </c>
      <c r="I18" s="378">
        <v>4.0470000000000002E-3</v>
      </c>
      <c r="J18" s="80"/>
      <c r="K18" s="255"/>
      <c r="L18" s="259" t="s">
        <v>34</v>
      </c>
      <c r="M18" s="408">
        <v>2311189701.0300002</v>
      </c>
      <c r="N18" s="400">
        <f>G18/M18</f>
        <v>8.7199696290695787E-3</v>
      </c>
      <c r="O18" s="563" t="s">
        <v>179</v>
      </c>
      <c r="P18" s="566">
        <f>SUM(H18:H20)/H48</f>
        <v>0.19978835309746401</v>
      </c>
      <c r="Q18" s="542">
        <v>0.6</v>
      </c>
      <c r="R18" s="542">
        <v>0.35</v>
      </c>
      <c r="S18" s="560" t="s">
        <v>180</v>
      </c>
      <c r="T18" s="51"/>
      <c r="U18" s="51"/>
      <c r="V18" s="51"/>
      <c r="W18" s="51"/>
      <c r="X18" s="51"/>
      <c r="Y18" s="51"/>
    </row>
    <row r="19" spans="1:25" s="52" customFormat="1" ht="18" x14ac:dyDescent="0.25">
      <c r="A19" s="39"/>
      <c r="B19" s="53" t="s">
        <v>127</v>
      </c>
      <c r="C19" s="118" t="s">
        <v>128</v>
      </c>
      <c r="D19" s="65" t="s">
        <v>129</v>
      </c>
      <c r="E19" s="79" t="s">
        <v>25</v>
      </c>
      <c r="F19" s="79" t="s">
        <v>25</v>
      </c>
      <c r="G19" s="411">
        <v>21700242.870000001</v>
      </c>
      <c r="H19" s="97">
        <f>G19/$G$48</f>
        <v>8.5573721049493637E-2</v>
      </c>
      <c r="I19" s="412">
        <v>-1.3339999999999999E-3</v>
      </c>
      <c r="J19" s="367"/>
      <c r="K19" s="261"/>
      <c r="L19" s="259" t="s">
        <v>27</v>
      </c>
      <c r="M19" s="384">
        <v>2191988538.3600001</v>
      </c>
      <c r="N19" s="400">
        <f>G19/M19</f>
        <v>9.8997975994143048E-3</v>
      </c>
      <c r="O19" s="564"/>
      <c r="P19" s="567"/>
      <c r="Q19" s="543"/>
      <c r="R19" s="543"/>
      <c r="S19" s="561"/>
      <c r="T19" s="51"/>
      <c r="U19" s="51"/>
      <c r="V19" s="51"/>
      <c r="W19" s="51"/>
      <c r="X19" s="51"/>
      <c r="Y19" s="51"/>
    </row>
    <row r="20" spans="1:25" s="52" customFormat="1" ht="18.75" thickBot="1" x14ac:dyDescent="0.3">
      <c r="A20" s="39"/>
      <c r="B20" s="53" t="s">
        <v>126</v>
      </c>
      <c r="C20" s="91" t="s">
        <v>38</v>
      </c>
      <c r="D20" s="92" t="s">
        <v>39</v>
      </c>
      <c r="E20" s="78" t="s">
        <v>25</v>
      </c>
      <c r="F20" s="78" t="s">
        <v>26</v>
      </c>
      <c r="G20" s="383">
        <v>8809654.5999999996</v>
      </c>
      <c r="H20" s="97">
        <f>G20/$G$48</f>
        <v>3.4740391146727674E-2</v>
      </c>
      <c r="I20" s="378">
        <v>3.8999999999999998E-3</v>
      </c>
      <c r="J20" s="80"/>
      <c r="K20" s="271"/>
      <c r="L20" s="272" t="s">
        <v>34</v>
      </c>
      <c r="M20" s="384">
        <v>563080501.40999997</v>
      </c>
      <c r="N20" s="400">
        <f>G20/M20</f>
        <v>1.5645462021753369E-2</v>
      </c>
      <c r="O20" s="565"/>
      <c r="P20" s="568"/>
      <c r="Q20" s="544"/>
      <c r="R20" s="544"/>
      <c r="S20" s="562"/>
      <c r="T20" s="51"/>
      <c r="U20" s="51"/>
      <c r="V20" s="51"/>
      <c r="W20" s="51"/>
      <c r="X20" s="51"/>
      <c r="Y20" s="51"/>
    </row>
    <row r="21" spans="1:25" s="1" customFormat="1" ht="16.5" thickBot="1" x14ac:dyDescent="0.3">
      <c r="A21" s="8"/>
      <c r="B21" s="233" t="s">
        <v>96</v>
      </c>
      <c r="C21" s="228"/>
      <c r="D21" s="234"/>
      <c r="E21" s="230"/>
      <c r="F21" s="232"/>
      <c r="G21" s="200"/>
      <c r="H21" s="218"/>
      <c r="I21" s="124"/>
      <c r="J21" s="124"/>
      <c r="K21" s="219"/>
      <c r="L21" s="317"/>
      <c r="M21" s="220"/>
      <c r="N21" s="43"/>
      <c r="O21" s="212" t="s">
        <v>90</v>
      </c>
      <c r="P21" s="330">
        <v>0</v>
      </c>
      <c r="Q21" s="108">
        <v>0.6</v>
      </c>
      <c r="R21" s="108">
        <v>0</v>
      </c>
      <c r="S21" s="207" t="s">
        <v>95</v>
      </c>
      <c r="T21" s="93"/>
      <c r="U21" s="57"/>
      <c r="V21" s="56"/>
      <c r="W21" s="56"/>
      <c r="X21" s="56"/>
      <c r="Y21" s="58"/>
    </row>
    <row r="22" spans="1:25" s="52" customFormat="1" ht="16.5" thickBot="1" x14ac:dyDescent="0.25">
      <c r="A22" s="39"/>
      <c r="B22" s="224" t="s">
        <v>92</v>
      </c>
      <c r="C22" s="225"/>
      <c r="D22" s="226"/>
      <c r="E22" s="226"/>
      <c r="F22" s="226"/>
      <c r="G22" s="221">
        <f>SUM(G23:G25)</f>
        <v>9681548.5300000012</v>
      </c>
      <c r="H22" s="124">
        <f>G22/$G$48</f>
        <v>3.8178657178934844E-2</v>
      </c>
      <c r="I22" s="217"/>
      <c r="J22" s="44"/>
      <c r="K22" s="102"/>
      <c r="L22" s="44"/>
      <c r="M22" s="87"/>
      <c r="N22" s="88"/>
      <c r="O22" s="41"/>
      <c r="P22" s="332"/>
      <c r="Q22" s="431"/>
      <c r="R22" s="432"/>
      <c r="S22" s="94"/>
      <c r="T22" s="51"/>
      <c r="U22" s="51"/>
      <c r="V22" s="51"/>
      <c r="W22" s="51"/>
      <c r="X22" s="51"/>
      <c r="Y22" s="51"/>
    </row>
    <row r="23" spans="1:25" s="1" customFormat="1" ht="18.75" thickBot="1" x14ac:dyDescent="0.3">
      <c r="A23" s="8"/>
      <c r="B23" s="53" t="s">
        <v>141</v>
      </c>
      <c r="C23" s="91" t="s">
        <v>40</v>
      </c>
      <c r="D23" s="60" t="s">
        <v>41</v>
      </c>
      <c r="E23" s="85" t="s">
        <v>42</v>
      </c>
      <c r="F23" s="85" t="s">
        <v>42</v>
      </c>
      <c r="G23" s="404">
        <v>5094.4799999999996</v>
      </c>
      <c r="H23" s="95">
        <f>G23/$G$48</f>
        <v>2.0089803281184395E-5</v>
      </c>
      <c r="I23" s="405">
        <v>5.1000000000000004E-3</v>
      </c>
      <c r="J23" s="277"/>
      <c r="K23" s="269"/>
      <c r="L23" s="259" t="s">
        <v>43</v>
      </c>
      <c r="M23" s="406">
        <v>6915756068.6400003</v>
      </c>
      <c r="N23" s="399">
        <f>G23/M23</f>
        <v>7.3664830705948265E-7</v>
      </c>
      <c r="O23" s="504" t="s">
        <v>36</v>
      </c>
      <c r="P23" s="527">
        <f>SUM(G23:G25)/G48</f>
        <v>3.8178657178934844E-2</v>
      </c>
      <c r="Q23" s="530">
        <v>0.4</v>
      </c>
      <c r="R23" s="530">
        <v>0.3</v>
      </c>
      <c r="S23" s="533" t="s">
        <v>149</v>
      </c>
      <c r="T23" s="57"/>
      <c r="U23" s="57"/>
      <c r="V23" s="56"/>
      <c r="W23" s="57"/>
      <c r="X23" s="57"/>
      <c r="Y23" s="69"/>
    </row>
    <row r="24" spans="1:25" s="1" customFormat="1" ht="18.75" thickBot="1" x14ac:dyDescent="0.3">
      <c r="A24" s="8"/>
      <c r="B24" s="53" t="s">
        <v>130</v>
      </c>
      <c r="C24" s="75" t="s">
        <v>24</v>
      </c>
      <c r="D24" s="60" t="s">
        <v>44</v>
      </c>
      <c r="E24" s="85" t="s">
        <v>25</v>
      </c>
      <c r="F24" s="85" t="s">
        <v>26</v>
      </c>
      <c r="G24" s="377">
        <v>8599665.9600000009</v>
      </c>
      <c r="H24" s="95">
        <f>G24/$G$48</f>
        <v>3.3912312428412278E-2</v>
      </c>
      <c r="I24" s="416">
        <v>3.3E-3</v>
      </c>
      <c r="J24" s="80"/>
      <c r="K24" s="258"/>
      <c r="L24" s="259" t="s">
        <v>45</v>
      </c>
      <c r="M24" s="414">
        <v>1496208831.23</v>
      </c>
      <c r="N24" s="399">
        <f t="shared" ref="N24:N25" si="2">G24/M24</f>
        <v>5.7476374824832486E-3</v>
      </c>
      <c r="O24" s="505"/>
      <c r="P24" s="528"/>
      <c r="Q24" s="531"/>
      <c r="R24" s="531"/>
      <c r="S24" s="534"/>
      <c r="T24" s="57"/>
      <c r="U24" s="57"/>
      <c r="V24" s="56"/>
      <c r="W24" s="57"/>
      <c r="X24" s="57"/>
      <c r="Y24" s="69"/>
    </row>
    <row r="25" spans="1:25" s="1" customFormat="1" ht="18.75" thickBot="1" x14ac:dyDescent="0.3">
      <c r="A25" s="8">
        <v>23</v>
      </c>
      <c r="B25" s="53" t="s">
        <v>131</v>
      </c>
      <c r="C25" s="75" t="s">
        <v>132</v>
      </c>
      <c r="D25" s="60" t="s">
        <v>182</v>
      </c>
      <c r="E25" s="85" t="s">
        <v>25</v>
      </c>
      <c r="F25" s="85" t="s">
        <v>25</v>
      </c>
      <c r="G25" s="404">
        <v>1076788.0900000001</v>
      </c>
      <c r="H25" s="95">
        <f>G25/$G$48</f>
        <v>4.2462549472413831E-3</v>
      </c>
      <c r="I25" s="412">
        <v>5.1000000000000004E-3</v>
      </c>
      <c r="J25" s="86"/>
      <c r="K25" s="258"/>
      <c r="L25" s="315" t="s">
        <v>43</v>
      </c>
      <c r="M25" s="415">
        <v>10198016708.379999</v>
      </c>
      <c r="N25" s="401">
        <f t="shared" si="2"/>
        <v>1.0558799037024257E-4</v>
      </c>
      <c r="O25" s="506"/>
      <c r="P25" s="529"/>
      <c r="Q25" s="532"/>
      <c r="R25" s="532"/>
      <c r="S25" s="535"/>
      <c r="T25" s="57"/>
      <c r="U25" s="57"/>
      <c r="V25" s="56"/>
      <c r="W25" s="57"/>
      <c r="X25" s="57"/>
      <c r="Y25" s="69"/>
    </row>
    <row r="26" spans="1:25" s="1" customFormat="1" ht="16.5" thickBot="1" x14ac:dyDescent="0.3">
      <c r="A26" s="8"/>
      <c r="B26" s="233" t="s">
        <v>93</v>
      </c>
      <c r="C26" s="228"/>
      <c r="D26" s="231"/>
      <c r="E26" s="235"/>
      <c r="F26" s="235"/>
      <c r="G26" s="214"/>
      <c r="H26" s="218"/>
      <c r="I26" s="43"/>
      <c r="J26" s="43"/>
      <c r="K26" s="206"/>
      <c r="L26" s="222"/>
      <c r="M26" s="204"/>
      <c r="N26" s="115"/>
      <c r="O26" s="212" t="s">
        <v>36</v>
      </c>
      <c r="P26" s="330">
        <v>0</v>
      </c>
      <c r="Q26" s="107">
        <v>0.4</v>
      </c>
      <c r="R26" s="108">
        <v>0</v>
      </c>
      <c r="S26" s="109" t="s">
        <v>94</v>
      </c>
      <c r="T26" s="57"/>
      <c r="U26" s="57"/>
      <c r="V26" s="56"/>
      <c r="W26" s="57"/>
      <c r="X26" s="57"/>
      <c r="Y26" s="69"/>
    </row>
    <row r="27" spans="1:25" s="1" customFormat="1" ht="16.5" thickBot="1" x14ac:dyDescent="0.3">
      <c r="A27" s="8"/>
      <c r="B27" s="233" t="s">
        <v>97</v>
      </c>
      <c r="C27" s="228"/>
      <c r="D27" s="229"/>
      <c r="E27" s="235"/>
      <c r="F27" s="235"/>
      <c r="G27" s="214"/>
      <c r="H27" s="124"/>
      <c r="I27" s="43"/>
      <c r="J27" s="124"/>
      <c r="K27" s="100"/>
      <c r="L27" s="222"/>
      <c r="M27" s="101"/>
      <c r="N27" s="322"/>
      <c r="O27" s="275" t="s">
        <v>36</v>
      </c>
      <c r="P27" s="330">
        <v>0</v>
      </c>
      <c r="Q27" s="108">
        <v>0.2</v>
      </c>
      <c r="R27" s="74">
        <v>0</v>
      </c>
      <c r="S27" s="109" t="s">
        <v>98</v>
      </c>
      <c r="T27" s="57"/>
      <c r="U27" s="57"/>
      <c r="V27" s="56"/>
      <c r="W27" s="57"/>
      <c r="X27" s="57"/>
      <c r="Y27" s="69"/>
    </row>
    <row r="28" spans="1:25" s="1" customFormat="1" ht="16.5" thickBot="1" x14ac:dyDescent="0.3">
      <c r="A28" s="8"/>
      <c r="B28" s="233" t="s">
        <v>99</v>
      </c>
      <c r="C28" s="228"/>
      <c r="D28" s="229"/>
      <c r="E28" s="235"/>
      <c r="F28" s="235"/>
      <c r="G28" s="205"/>
      <c r="H28" s="124"/>
      <c r="I28" s="43"/>
      <c r="J28" s="124"/>
      <c r="K28" s="100"/>
      <c r="L28" s="222"/>
      <c r="M28" s="101"/>
      <c r="N28" s="322"/>
      <c r="O28" s="201" t="s">
        <v>36</v>
      </c>
      <c r="P28" s="437">
        <v>0</v>
      </c>
      <c r="Q28" s="73">
        <v>0.15</v>
      </c>
      <c r="R28" s="74">
        <v>0</v>
      </c>
      <c r="S28" s="109" t="s">
        <v>101</v>
      </c>
      <c r="T28" s="57"/>
      <c r="U28" s="57"/>
      <c r="V28" s="56"/>
      <c r="W28" s="57"/>
      <c r="X28" s="57"/>
      <c r="Y28" s="69"/>
    </row>
    <row r="29" spans="1:25" s="1" customFormat="1" ht="16.5" thickBot="1" x14ac:dyDescent="0.3">
      <c r="A29" s="8"/>
      <c r="B29" s="233" t="s">
        <v>100</v>
      </c>
      <c r="C29" s="228"/>
      <c r="D29" s="229"/>
      <c r="E29" s="235"/>
      <c r="F29" s="235"/>
      <c r="G29" s="205"/>
      <c r="H29" s="124"/>
      <c r="I29" s="43"/>
      <c r="J29" s="124"/>
      <c r="K29" s="100"/>
      <c r="L29" s="222"/>
      <c r="M29" s="101"/>
      <c r="N29" s="322"/>
      <c r="O29" s="201" t="s">
        <v>36</v>
      </c>
      <c r="P29" s="437">
        <v>0</v>
      </c>
      <c r="Q29" s="73">
        <v>0.15</v>
      </c>
      <c r="R29" s="74">
        <v>0</v>
      </c>
      <c r="S29" s="109" t="s">
        <v>102</v>
      </c>
      <c r="T29" s="57"/>
      <c r="U29" s="57"/>
      <c r="V29" s="56"/>
      <c r="W29" s="57"/>
      <c r="X29" s="57"/>
      <c r="Y29" s="69"/>
    </row>
    <row r="30" spans="1:25" s="52" customFormat="1" ht="16.5" thickBot="1" x14ac:dyDescent="0.25">
      <c r="A30" s="39"/>
      <c r="B30" s="224" t="s">
        <v>103</v>
      </c>
      <c r="C30" s="225"/>
      <c r="D30" s="226"/>
      <c r="E30" s="226"/>
      <c r="F30" s="226"/>
      <c r="G30" s="42"/>
      <c r="H30" s="43">
        <f>G30/$G$48</f>
        <v>0</v>
      </c>
      <c r="I30" s="70"/>
      <c r="J30" s="44"/>
      <c r="K30" s="44"/>
      <c r="L30" s="102"/>
      <c r="M30" s="103"/>
      <c r="N30" s="323"/>
      <c r="O30" s="104"/>
      <c r="P30" s="334">
        <v>0</v>
      </c>
      <c r="Q30" s="431"/>
      <c r="R30" s="432"/>
      <c r="S30" s="90"/>
      <c r="T30" s="51"/>
      <c r="U30" s="51"/>
      <c r="V30" s="51"/>
      <c r="W30" s="51"/>
      <c r="X30" s="51"/>
      <c r="Y30" s="51"/>
    </row>
    <row r="31" spans="1:25" s="1" customFormat="1" ht="16.5" thickBot="1" x14ac:dyDescent="0.3">
      <c r="A31" s="8"/>
      <c r="B31" s="236" t="s">
        <v>104</v>
      </c>
      <c r="C31" s="228"/>
      <c r="D31" s="237"/>
      <c r="E31" s="235"/>
      <c r="F31" s="235"/>
      <c r="G31" s="199"/>
      <c r="H31" s="124"/>
      <c r="I31" s="223"/>
      <c r="J31" s="124"/>
      <c r="K31" s="100"/>
      <c r="L31" s="222"/>
      <c r="M31" s="101"/>
      <c r="N31" s="115"/>
      <c r="O31" s="217"/>
      <c r="P31" s="330">
        <v>0</v>
      </c>
      <c r="Q31" s="107">
        <v>0.05</v>
      </c>
      <c r="R31" s="108">
        <v>0.01</v>
      </c>
      <c r="S31" s="436" t="s">
        <v>106</v>
      </c>
      <c r="T31" s="57"/>
      <c r="U31" s="57"/>
      <c r="V31" s="56"/>
      <c r="W31" s="57"/>
      <c r="X31" s="56"/>
      <c r="Y31" s="58"/>
    </row>
    <row r="32" spans="1:25" s="1" customFormat="1" ht="16.5" thickBot="1" x14ac:dyDescent="0.3">
      <c r="A32" s="8"/>
      <c r="B32" s="236" t="s">
        <v>105</v>
      </c>
      <c r="C32" s="228"/>
      <c r="D32" s="237"/>
      <c r="E32" s="235"/>
      <c r="F32" s="235"/>
      <c r="G32" s="199"/>
      <c r="H32" s="124"/>
      <c r="I32" s="223"/>
      <c r="J32" s="124"/>
      <c r="K32" s="100"/>
      <c r="L32" s="222"/>
      <c r="M32" s="101"/>
      <c r="N32" s="322"/>
      <c r="O32" s="217"/>
      <c r="P32" s="330">
        <v>0</v>
      </c>
      <c r="Q32" s="107">
        <v>0.05</v>
      </c>
      <c r="R32" s="108">
        <v>0</v>
      </c>
      <c r="S32" s="436" t="s">
        <v>107</v>
      </c>
      <c r="T32" s="57"/>
      <c r="U32" s="57"/>
      <c r="V32" s="56"/>
      <c r="W32" s="57"/>
      <c r="X32" s="56"/>
      <c r="Y32" s="58"/>
    </row>
    <row r="33" spans="1:25" s="52" customFormat="1" ht="16.5" thickBot="1" x14ac:dyDescent="0.25">
      <c r="A33" s="39"/>
      <c r="B33" s="224" t="s">
        <v>108</v>
      </c>
      <c r="C33" s="225"/>
      <c r="D33" s="226"/>
      <c r="E33" s="226"/>
      <c r="F33" s="226"/>
      <c r="G33" s="42"/>
      <c r="H33" s="43">
        <f>G33/$G$48</f>
        <v>0</v>
      </c>
      <c r="I33" s="70"/>
      <c r="J33" s="44"/>
      <c r="K33" s="44"/>
      <c r="L33" s="44"/>
      <c r="M33" s="87"/>
      <c r="N33" s="323"/>
      <c r="O33" s="41"/>
      <c r="P33" s="337">
        <f>SUM((G4+G9+G15+G16+G17+G21+G22+G26+G27+G28+G30+G31+G32)/G48)</f>
        <v>0.90942652668030421</v>
      </c>
      <c r="Q33" s="431"/>
      <c r="R33" s="432"/>
      <c r="S33" s="90"/>
      <c r="T33" s="51"/>
      <c r="U33" s="51"/>
      <c r="V33" s="51"/>
      <c r="W33" s="51"/>
      <c r="X33" s="51"/>
      <c r="Y33" s="51"/>
    </row>
    <row r="34" spans="1:25" s="1" customFormat="1" ht="16.5" thickBot="1" x14ac:dyDescent="0.3">
      <c r="A34" s="113"/>
      <c r="B34" s="224" t="s">
        <v>111</v>
      </c>
      <c r="C34" s="225"/>
      <c r="D34" s="226"/>
      <c r="E34" s="226"/>
      <c r="F34" s="226"/>
      <c r="G34" s="42"/>
      <c r="H34" s="115">
        <f>G34/$G$48</f>
        <v>0</v>
      </c>
      <c r="I34" s="70"/>
      <c r="J34" s="44"/>
      <c r="K34" s="44"/>
      <c r="L34" s="44"/>
      <c r="M34" s="87"/>
      <c r="N34" s="88"/>
      <c r="O34" s="41"/>
      <c r="P34" s="334">
        <v>0</v>
      </c>
      <c r="Q34" s="48"/>
      <c r="R34" s="432"/>
      <c r="S34" s="90"/>
      <c r="T34" s="57"/>
      <c r="U34" s="57"/>
      <c r="V34" s="56"/>
      <c r="W34" s="57"/>
      <c r="X34" s="57"/>
      <c r="Y34" s="112"/>
    </row>
    <row r="35" spans="1:25" s="52" customFormat="1" ht="16.5" thickBot="1" x14ac:dyDescent="0.25">
      <c r="A35" s="39"/>
      <c r="B35" s="224" t="s">
        <v>109</v>
      </c>
      <c r="C35" s="225"/>
      <c r="D35" s="226"/>
      <c r="E35" s="226"/>
      <c r="F35" s="226"/>
      <c r="G35" s="42">
        <f>SUM(G36:G38)</f>
        <v>16428774.9</v>
      </c>
      <c r="H35" s="43">
        <f>G35/$G$48</f>
        <v>6.4785975387450706E-2</v>
      </c>
      <c r="I35" s="70"/>
      <c r="J35" s="28"/>
      <c r="K35" s="44"/>
      <c r="L35" s="44"/>
      <c r="M35" s="87"/>
      <c r="N35" s="88"/>
      <c r="O35" s="104"/>
      <c r="P35" s="332"/>
      <c r="Q35" s="431"/>
      <c r="R35" s="431"/>
      <c r="S35" s="94"/>
      <c r="T35" s="51"/>
      <c r="U35" s="51"/>
      <c r="V35" s="51"/>
      <c r="W35" s="51"/>
      <c r="X35" s="51"/>
      <c r="Y35" s="51"/>
    </row>
    <row r="36" spans="1:25" s="1" customFormat="1" ht="18" x14ac:dyDescent="0.25">
      <c r="A36" s="8">
        <v>36</v>
      </c>
      <c r="B36" s="53" t="s">
        <v>134</v>
      </c>
      <c r="C36" s="118"/>
      <c r="D36" s="60" t="s">
        <v>49</v>
      </c>
      <c r="E36" s="85" t="s">
        <v>50</v>
      </c>
      <c r="F36" s="85" t="s">
        <v>51</v>
      </c>
      <c r="G36" s="377">
        <v>7606344.9199999999</v>
      </c>
      <c r="H36" s="61">
        <f t="shared" ref="H36:H38" si="3">G36/$G$48</f>
        <v>2.9995205228332676E-2</v>
      </c>
      <c r="I36" s="378">
        <v>1.0699999999999999E-2</v>
      </c>
      <c r="J36" s="111"/>
      <c r="K36" s="263"/>
      <c r="L36" s="262" t="s">
        <v>135</v>
      </c>
      <c r="M36" s="379">
        <v>628177198.98000002</v>
      </c>
      <c r="N36" s="318">
        <f t="shared" ref="N36:N38" si="4">G36/M36</f>
        <v>1.2108597593721595E-2</v>
      </c>
      <c r="O36" s="536" t="s">
        <v>47</v>
      </c>
      <c r="P36" s="507">
        <f>SUM(G36:G38)/G48</f>
        <v>6.4785975387450706E-2</v>
      </c>
      <c r="Q36" s="530">
        <v>0.2</v>
      </c>
      <c r="R36" s="542">
        <v>0.15</v>
      </c>
      <c r="S36" s="533" t="s">
        <v>145</v>
      </c>
      <c r="T36" s="57"/>
      <c r="U36" s="57"/>
      <c r="V36" s="56"/>
      <c r="W36" s="57"/>
      <c r="X36" s="57"/>
      <c r="Y36" s="112"/>
    </row>
    <row r="37" spans="1:25" s="1" customFormat="1" ht="18" x14ac:dyDescent="0.25">
      <c r="A37" s="8"/>
      <c r="B37" s="53" t="s">
        <v>134</v>
      </c>
      <c r="C37" s="118"/>
      <c r="D37" s="60" t="s">
        <v>175</v>
      </c>
      <c r="E37" s="85" t="s">
        <v>26</v>
      </c>
      <c r="F37" s="85" t="s">
        <v>32</v>
      </c>
      <c r="G37" s="377">
        <v>4155550.83</v>
      </c>
      <c r="H37" s="61">
        <f t="shared" si="3"/>
        <v>1.6387187445953764E-2</v>
      </c>
      <c r="I37" s="378">
        <v>1.9199999999999998E-2</v>
      </c>
      <c r="J37" s="111"/>
      <c r="K37" s="265"/>
      <c r="L37" s="262" t="s">
        <v>46</v>
      </c>
      <c r="M37" s="379">
        <v>398949719.52999997</v>
      </c>
      <c r="N37" s="264">
        <f t="shared" si="4"/>
        <v>1.0416226974405765E-2</v>
      </c>
      <c r="O37" s="537"/>
      <c r="P37" s="508"/>
      <c r="Q37" s="531"/>
      <c r="R37" s="543"/>
      <c r="S37" s="534"/>
      <c r="T37" s="57"/>
      <c r="U37" s="57"/>
      <c r="V37" s="56"/>
      <c r="W37" s="57"/>
      <c r="X37" s="57"/>
      <c r="Y37" s="112"/>
    </row>
    <row r="38" spans="1:25" s="1" customFormat="1" ht="18.75" thickBot="1" x14ac:dyDescent="0.3">
      <c r="A38" s="8"/>
      <c r="B38" s="266" t="s">
        <v>137</v>
      </c>
      <c r="C38" s="77"/>
      <c r="D38" s="67" t="s">
        <v>171</v>
      </c>
      <c r="E38" s="110">
        <v>0.54</v>
      </c>
      <c r="F38" s="99" t="s">
        <v>32</v>
      </c>
      <c r="G38" s="381">
        <v>4666879.1500000004</v>
      </c>
      <c r="H38" s="121">
        <f t="shared" si="3"/>
        <v>1.8403582713164258E-2</v>
      </c>
      <c r="I38" s="380">
        <v>2.4E-2</v>
      </c>
      <c r="J38" s="111"/>
      <c r="K38" s="216"/>
      <c r="L38" s="267" t="s">
        <v>138</v>
      </c>
      <c r="M38" s="382">
        <v>348191466.97000003</v>
      </c>
      <c r="N38" s="61">
        <f t="shared" si="4"/>
        <v>1.340319793190709E-2</v>
      </c>
      <c r="O38" s="538"/>
      <c r="P38" s="509"/>
      <c r="Q38" s="532"/>
      <c r="R38" s="544"/>
      <c r="S38" s="535"/>
      <c r="T38" s="57"/>
      <c r="U38" s="57"/>
      <c r="V38" s="56"/>
      <c r="W38" s="57"/>
      <c r="X38" s="57"/>
      <c r="Y38" s="112"/>
    </row>
    <row r="39" spans="1:25" s="1" customFormat="1" ht="16.5" thickBot="1" x14ac:dyDescent="0.3">
      <c r="A39" s="8"/>
      <c r="B39" s="240" t="s">
        <v>112</v>
      </c>
      <c r="C39" s="228"/>
      <c r="D39" s="239"/>
      <c r="E39" s="230"/>
      <c r="F39" s="232"/>
      <c r="G39" s="238"/>
      <c r="H39" s="124"/>
      <c r="I39" s="83"/>
      <c r="J39" s="273"/>
      <c r="K39" s="206"/>
      <c r="L39" s="274"/>
      <c r="M39" s="204"/>
      <c r="N39" s="43"/>
      <c r="O39" s="275" t="s">
        <v>47</v>
      </c>
      <c r="P39" s="336">
        <v>0</v>
      </c>
      <c r="Q39" s="73">
        <v>0.2</v>
      </c>
      <c r="R39" s="74">
        <v>0</v>
      </c>
      <c r="S39" s="276" t="s">
        <v>110</v>
      </c>
      <c r="T39" s="57"/>
      <c r="U39" s="57"/>
      <c r="V39" s="56"/>
      <c r="W39" s="57"/>
      <c r="X39" s="57"/>
      <c r="Y39" s="112"/>
    </row>
    <row r="40" spans="1:25" s="52" customFormat="1" ht="16.5" thickBot="1" x14ac:dyDescent="0.25">
      <c r="A40" s="39"/>
      <c r="B40" s="240" t="s">
        <v>113</v>
      </c>
      <c r="C40" s="225"/>
      <c r="D40" s="226"/>
      <c r="E40" s="226"/>
      <c r="F40" s="226"/>
      <c r="G40" s="42">
        <f>SUM(G41:G42)</f>
        <v>6531112.2599999998</v>
      </c>
      <c r="H40" s="43">
        <f>G40/$G$48</f>
        <v>2.5755084034235414E-2</v>
      </c>
      <c r="I40" s="278"/>
      <c r="J40" s="44"/>
      <c r="K40" s="44"/>
      <c r="L40" s="44"/>
      <c r="M40" s="87"/>
      <c r="N40" s="254"/>
      <c r="O40" s="104"/>
      <c r="P40" s="334"/>
      <c r="Q40" s="431"/>
      <c r="R40" s="432"/>
      <c r="S40" s="116"/>
      <c r="T40" s="51"/>
      <c r="U40" s="51"/>
      <c r="V40" s="51"/>
      <c r="W40" s="51"/>
      <c r="X40" s="51"/>
      <c r="Y40" s="51"/>
    </row>
    <row r="41" spans="1:25" s="1" customFormat="1" ht="18.75" thickBot="1" x14ac:dyDescent="0.3">
      <c r="A41" s="8"/>
      <c r="B41" s="268" t="s">
        <v>139</v>
      </c>
      <c r="C41" s="66" t="s">
        <v>48</v>
      </c>
      <c r="D41" s="122" t="s">
        <v>53</v>
      </c>
      <c r="E41" s="79" t="s">
        <v>25</v>
      </c>
      <c r="F41" s="79" t="s">
        <v>26</v>
      </c>
      <c r="G41" s="385">
        <v>3335300.16</v>
      </c>
      <c r="H41" s="64">
        <f t="shared" ref="H41:H42" si="5">G41/$G$48</f>
        <v>1.3152573785372176E-2</v>
      </c>
      <c r="I41" s="386">
        <v>5.8999999999999999E-3</v>
      </c>
      <c r="J41" s="277"/>
      <c r="K41" s="269"/>
      <c r="L41" s="123" t="s">
        <v>43</v>
      </c>
      <c r="M41" s="387">
        <v>1093531923.9400001</v>
      </c>
      <c r="N41" s="61">
        <f t="shared" ref="N41:N42" si="6">G41/M41</f>
        <v>3.0500254148803445E-3</v>
      </c>
      <c r="O41" s="525" t="s">
        <v>150</v>
      </c>
      <c r="P41" s="507">
        <f>SUM(G41:G42)/G48</f>
        <v>2.5755084034235414E-2</v>
      </c>
      <c r="Q41" s="510">
        <v>0.1</v>
      </c>
      <c r="R41" s="510">
        <v>0.03</v>
      </c>
      <c r="S41" s="519"/>
      <c r="T41" s="57"/>
      <c r="U41" s="57"/>
      <c r="V41" s="56"/>
      <c r="W41" s="57"/>
      <c r="X41" s="57"/>
      <c r="Y41" s="69"/>
    </row>
    <row r="42" spans="1:25" s="1" customFormat="1" ht="18.75" thickBot="1" x14ac:dyDescent="0.3">
      <c r="A42" s="8"/>
      <c r="B42" s="279" t="s">
        <v>130</v>
      </c>
      <c r="C42" s="118"/>
      <c r="D42" s="67" t="s">
        <v>55</v>
      </c>
      <c r="E42" s="85" t="s">
        <v>56</v>
      </c>
      <c r="F42" s="85" t="s">
        <v>56</v>
      </c>
      <c r="G42" s="417">
        <v>3195812.1</v>
      </c>
      <c r="H42" s="68">
        <f t="shared" si="5"/>
        <v>1.260251024886324E-2</v>
      </c>
      <c r="I42" s="295">
        <v>-5.8999999999999999E-3</v>
      </c>
      <c r="J42" s="105"/>
      <c r="K42" s="270"/>
      <c r="L42" s="262" t="s">
        <v>46</v>
      </c>
      <c r="M42" s="413">
        <v>34610648.189999998</v>
      </c>
      <c r="N42" s="376">
        <f t="shared" si="6"/>
        <v>9.2336095020704098E-2</v>
      </c>
      <c r="O42" s="526"/>
      <c r="P42" s="509"/>
      <c r="Q42" s="512"/>
      <c r="R42" s="512"/>
      <c r="S42" s="520"/>
      <c r="T42" s="57"/>
      <c r="U42" s="57"/>
      <c r="V42" s="56"/>
      <c r="W42" s="57"/>
      <c r="X42" s="57"/>
      <c r="Y42" s="69"/>
    </row>
    <row r="43" spans="1:25" s="1" customFormat="1" ht="16.5" thickBot="1" x14ac:dyDescent="0.3">
      <c r="A43" s="8"/>
      <c r="B43" s="240" t="s">
        <v>114</v>
      </c>
      <c r="C43" s="225"/>
      <c r="D43" s="226"/>
      <c r="E43" s="226"/>
      <c r="F43" s="226"/>
      <c r="G43" s="42"/>
      <c r="H43" s="43">
        <f>G43/$G$48</f>
        <v>0</v>
      </c>
      <c r="I43" s="70"/>
      <c r="J43" s="71"/>
      <c r="K43" s="71"/>
      <c r="L43" s="44"/>
      <c r="M43" s="72"/>
      <c r="N43" s="88"/>
      <c r="O43" s="319" t="s">
        <v>151</v>
      </c>
      <c r="P43" s="335">
        <v>0</v>
      </c>
      <c r="Q43" s="324">
        <v>0.05</v>
      </c>
      <c r="R43" s="320">
        <v>0.03</v>
      </c>
      <c r="S43" s="11" t="s">
        <v>152</v>
      </c>
      <c r="T43" s="57"/>
      <c r="U43" s="57"/>
      <c r="V43" s="56"/>
      <c r="W43" s="57"/>
      <c r="X43" s="57"/>
      <c r="Y43" s="69"/>
    </row>
    <row r="44" spans="1:25" s="52" customFormat="1" ht="16.5" thickBot="1" x14ac:dyDescent="0.25">
      <c r="A44" s="39"/>
      <c r="B44" s="240" t="s">
        <v>115</v>
      </c>
      <c r="C44" s="225"/>
      <c r="D44" s="226"/>
      <c r="E44" s="226"/>
      <c r="F44" s="226"/>
      <c r="G44" s="42"/>
      <c r="H44" s="43">
        <f>G44/$G$48</f>
        <v>0</v>
      </c>
      <c r="I44" s="70"/>
      <c r="J44" s="44"/>
      <c r="K44" s="44"/>
      <c r="L44" s="44"/>
      <c r="M44" s="87"/>
      <c r="N44" s="254"/>
      <c r="O44" s="321" t="s">
        <v>153</v>
      </c>
      <c r="P44" s="335">
        <v>0</v>
      </c>
      <c r="Q44" s="320">
        <v>0.05</v>
      </c>
      <c r="R44" s="320">
        <v>0.03</v>
      </c>
      <c r="S44" s="11" t="s">
        <v>154</v>
      </c>
      <c r="T44" s="51"/>
      <c r="U44" s="51"/>
      <c r="V44" s="51"/>
      <c r="W44" s="51"/>
      <c r="X44" s="51"/>
      <c r="Y44" s="51"/>
    </row>
    <row r="45" spans="1:25" s="1" customFormat="1" ht="12" customHeight="1" thickBot="1" x14ac:dyDescent="0.3">
      <c r="A45" s="113"/>
      <c r="B45" s="114" t="s">
        <v>57</v>
      </c>
      <c r="C45" s="40"/>
      <c r="D45" s="41"/>
      <c r="E45" s="126"/>
      <c r="F45" s="126"/>
      <c r="G45" s="127">
        <f>SUM(G46:G47)</f>
        <v>8219.69</v>
      </c>
      <c r="H45" s="128">
        <f>G45/$G$48</f>
        <v>3.2413898009672933E-5</v>
      </c>
      <c r="I45" s="129"/>
      <c r="J45" s="130"/>
      <c r="K45" s="130"/>
      <c r="L45" s="130"/>
      <c r="M45" s="131"/>
      <c r="N45" s="88"/>
      <c r="O45" s="132"/>
      <c r="P45" s="339">
        <f>SUM((G33+G34+G35+G40+G44)/G48)</f>
        <v>9.054105942168611E-2</v>
      </c>
      <c r="Q45" s="133"/>
      <c r="R45" s="134">
        <f>SUM(P33+P45+P46+P47)/100</f>
        <v>0.01</v>
      </c>
      <c r="S45" s="50"/>
      <c r="T45" s="125"/>
      <c r="U45" s="125"/>
      <c r="V45" s="125"/>
      <c r="W45" s="125"/>
      <c r="X45" s="125"/>
    </row>
    <row r="46" spans="1:25" s="1" customFormat="1" ht="15.75" thickBot="1" x14ac:dyDescent="0.3">
      <c r="A46" s="113">
        <v>46</v>
      </c>
      <c r="B46" s="284" t="s">
        <v>143</v>
      </c>
      <c r="C46" s="285"/>
      <c r="D46" s="286"/>
      <c r="E46" s="287"/>
      <c r="F46" s="287"/>
      <c r="G46" s="288">
        <v>0</v>
      </c>
      <c r="H46" s="83"/>
      <c r="I46" s="96">
        <v>0</v>
      </c>
      <c r="J46" s="136"/>
      <c r="K46" s="137"/>
      <c r="L46" s="138"/>
      <c r="M46" s="139"/>
      <c r="N46" s="140"/>
      <c r="O46" s="521" t="s">
        <v>58</v>
      </c>
      <c r="P46" s="523">
        <f>SUM(G46:G47)/G48</f>
        <v>3.2413898009672933E-5</v>
      </c>
      <c r="Q46" s="141"/>
      <c r="R46" s="142"/>
      <c r="S46" s="135"/>
      <c r="T46" s="125"/>
      <c r="U46" s="125"/>
      <c r="V46" s="125"/>
      <c r="W46" s="125"/>
      <c r="X46" s="125"/>
    </row>
    <row r="47" spans="1:25" s="125" customFormat="1" ht="15.75" thickBot="1" x14ac:dyDescent="0.3">
      <c r="A47" s="8">
        <v>47</v>
      </c>
      <c r="B47" s="284" t="s">
        <v>181</v>
      </c>
      <c r="C47" s="285"/>
      <c r="D47" s="286"/>
      <c r="E47" s="287"/>
      <c r="F47" s="287"/>
      <c r="G47" s="428">
        <v>8219.69</v>
      </c>
      <c r="H47" s="83"/>
      <c r="I47" s="62">
        <v>0</v>
      </c>
      <c r="J47" s="144"/>
      <c r="K47" s="145"/>
      <c r="L47" s="146"/>
      <c r="M47" s="147"/>
      <c r="N47" s="148"/>
      <c r="O47" s="522"/>
      <c r="P47" s="524"/>
      <c r="Q47" s="149"/>
      <c r="R47" s="150"/>
      <c r="S47" s="143"/>
      <c r="T47" s="151"/>
      <c r="V47" s="152"/>
      <c r="Y47" s="1"/>
    </row>
    <row r="48" spans="1:25" s="125" customFormat="1" ht="16.5" thickBot="1" x14ac:dyDescent="0.3">
      <c r="A48" s="8"/>
      <c r="B48" s="153" t="s">
        <v>59</v>
      </c>
      <c r="C48" s="154"/>
      <c r="D48" s="155"/>
      <c r="E48" s="156"/>
      <c r="F48" s="156"/>
      <c r="G48" s="157">
        <f>G4+G9+G15+G16+G17+G21+G22+G26+G27+G28+G29+G30+G31+G32+G33+G34+G35+G39+G40+G43+G44+G45</f>
        <v>253585360.12999997</v>
      </c>
      <c r="H48" s="158">
        <f>G48/$G$48</f>
        <v>1</v>
      </c>
      <c r="I48" s="159"/>
      <c r="J48" s="160"/>
      <c r="K48" s="161"/>
      <c r="L48" s="162"/>
      <c r="M48" s="163"/>
      <c r="N48" s="164"/>
      <c r="O48" s="165"/>
      <c r="P48" s="334">
        <f>SUM(P5+P10+P15+P16+P17+P21+P23+P26+P27+P28+P29+P30+P31+P32+P34+P36+P39+P41+P43+P44+P46)</f>
        <v>0.70315162353453808</v>
      </c>
      <c r="Q48" s="166"/>
      <c r="R48" s="338">
        <f>P33+P45</f>
        <v>0.99996758610199032</v>
      </c>
      <c r="S48" s="167"/>
      <c r="T48" s="151"/>
      <c r="V48" s="152"/>
      <c r="Y48" s="1"/>
    </row>
    <row r="49" spans="1:25" s="125" customFormat="1" x14ac:dyDescent="0.25">
      <c r="A49" s="1"/>
      <c r="B49" s="168" t="str">
        <f>'[3]FFIN2 Abril 2018'!$B$72</f>
        <v>Meta Atuarial(INPC 0,21 + 0,486755)</v>
      </c>
      <c r="C49" s="168"/>
      <c r="D49" s="169"/>
      <c r="E49" s="169">
        <f>'[3]FFIN2 Abril 2018'!$E$72</f>
        <v>6.9769999999999997E-3</v>
      </c>
      <c r="F49" s="169"/>
      <c r="G49" s="168" t="s">
        <v>60</v>
      </c>
      <c r="H49" s="170">
        <f>'[3]FFIN2 Abril 2018'!$H$73</f>
        <v>8.2000000000000007E-3</v>
      </c>
      <c r="I49" s="171"/>
      <c r="J49" s="168" t="s">
        <v>61</v>
      </c>
      <c r="K49" s="170">
        <f>'[3]FFIN2 Abril 2018'!$K$73</f>
        <v>-1.438E-3</v>
      </c>
      <c r="L49" s="171"/>
      <c r="M49" s="172" t="s">
        <v>62</v>
      </c>
      <c r="N49" s="170">
        <f>'[3]FFIN2 Abril 2018'!$N$73</f>
        <v>5.0549999999999996E-3</v>
      </c>
      <c r="O49" s="1"/>
      <c r="P49" s="170" t="s">
        <v>167</v>
      </c>
      <c r="Q49" s="1"/>
      <c r="R49" s="170"/>
      <c r="S49" s="173">
        <v>4.7E-2</v>
      </c>
      <c r="Y49" s="1"/>
    </row>
    <row r="50" spans="1:25" s="125" customFormat="1" x14ac:dyDescent="0.25">
      <c r="A50" s="1"/>
      <c r="B50" s="168" t="s">
        <v>169</v>
      </c>
      <c r="C50" s="174"/>
      <c r="D50" s="168"/>
      <c r="E50" s="175">
        <v>3.3999999999999998E-3</v>
      </c>
      <c r="F50" s="170"/>
      <c r="G50" s="168" t="s">
        <v>63</v>
      </c>
      <c r="H50" s="170">
        <f>'[3]FFIN2 Abril 2018'!$H$74</f>
        <v>6.4000000000000003E-3</v>
      </c>
      <c r="I50" s="168"/>
      <c r="J50" s="168" t="s">
        <v>64</v>
      </c>
      <c r="K50" s="170">
        <f>'[3]FFIN2 Abril 2018'!$K$74</f>
        <v>3.1840000000000002E-3</v>
      </c>
      <c r="L50" s="170"/>
      <c r="M50" s="172" t="s">
        <v>65</v>
      </c>
      <c r="N50" s="170">
        <f>'[3]FFIN2 Abril 2018'!$N$74</f>
        <v>4.5319999999999996E-3</v>
      </c>
      <c r="O50" s="1"/>
      <c r="P50" s="178" t="s">
        <v>66</v>
      </c>
      <c r="Q50" s="1"/>
      <c r="R50" s="1"/>
      <c r="S50" s="173">
        <v>2.6200000000000001E-2</v>
      </c>
      <c r="Y50" s="1"/>
    </row>
    <row r="51" spans="1:25" s="125" customFormat="1" x14ac:dyDescent="0.25">
      <c r="A51" s="1"/>
      <c r="B51" s="168" t="s">
        <v>67</v>
      </c>
      <c r="C51" s="1"/>
      <c r="D51" s="170"/>
      <c r="E51" s="170">
        <f>'[3]FFIN2 Abril 2018'!$E$74</f>
        <v>2.0999999999999999E-3</v>
      </c>
      <c r="F51" s="170"/>
      <c r="G51" s="168" t="s">
        <v>68</v>
      </c>
      <c r="H51" s="170">
        <f>'[3]FFIN2 Abril 2018'!$H$75</f>
        <v>2.3699999999999999E-2</v>
      </c>
      <c r="I51" s="168"/>
      <c r="J51" s="168" t="s">
        <v>69</v>
      </c>
      <c r="K51" s="170">
        <f>'[3]FFIN2 Abril 2018'!$K$75</f>
        <v>4.215E-3</v>
      </c>
      <c r="L51" s="170"/>
      <c r="M51" s="172" t="s">
        <v>70</v>
      </c>
      <c r="N51" s="170">
        <f>'[3]FFIN2 Abril 2018'!$N$75</f>
        <v>9.7990000000000004E-3</v>
      </c>
      <c r="O51" s="170"/>
      <c r="P51" s="178" t="s">
        <v>168</v>
      </c>
      <c r="Q51" s="1"/>
      <c r="R51" s="1"/>
      <c r="S51" s="173">
        <v>0.12470000000000001</v>
      </c>
      <c r="T51" s="177"/>
      <c r="Y51" s="1"/>
    </row>
    <row r="52" spans="1:25" s="125" customFormat="1" x14ac:dyDescent="0.25">
      <c r="A52" s="1"/>
      <c r="B52" s="168" t="s">
        <v>54</v>
      </c>
      <c r="C52" s="170"/>
      <c r="D52" s="170"/>
      <c r="E52" s="178">
        <f>'[3]FFIN2 Abril 2018'!$E$75</f>
        <v>5.1999999999999998E-3</v>
      </c>
      <c r="F52" s="178"/>
      <c r="G52" s="168" t="s">
        <v>71</v>
      </c>
      <c r="H52" s="170">
        <f>'[3]FFIN2 Abril 2018'!$H$76</f>
        <v>-1.4200000000000001E-2</v>
      </c>
      <c r="I52" s="168"/>
      <c r="J52" s="168" t="s">
        <v>72</v>
      </c>
      <c r="K52" s="170">
        <f>'[3]FFIN2 Abril 2018'!$K$76</f>
        <v>-6.2899999999999996E-3</v>
      </c>
      <c r="L52" s="170"/>
      <c r="M52" s="172" t="s">
        <v>73</v>
      </c>
      <c r="N52" s="170">
        <f>'[3]FFIN2 Abril 2018'!$N$76</f>
        <v>5.1460000000000004E-3</v>
      </c>
      <c r="O52" s="170"/>
      <c r="P52" s="178" t="s">
        <v>74</v>
      </c>
      <c r="Q52" s="1"/>
      <c r="R52" s="1"/>
      <c r="S52" s="173">
        <v>7.7700000000000005E-2</v>
      </c>
      <c r="Y52" s="1"/>
    </row>
    <row r="53" spans="1:25" s="125" customFormat="1" x14ac:dyDescent="0.25">
      <c r="A53" s="1"/>
      <c r="B53" s="168" t="s">
        <v>45</v>
      </c>
      <c r="C53" s="1"/>
      <c r="D53" s="170"/>
      <c r="E53" s="178">
        <f>'[3]FFIN2 Abril 2018'!$E$76</f>
        <v>2.2000000000000001E-3</v>
      </c>
      <c r="F53" s="178"/>
      <c r="G53" s="168" t="s">
        <v>52</v>
      </c>
      <c r="H53" s="170" t="str">
        <f>'[3]FFIN2 Abril 2018'!$H$77</f>
        <v xml:space="preserve"> </v>
      </c>
      <c r="I53" s="1"/>
      <c r="J53" s="168" t="s">
        <v>75</v>
      </c>
      <c r="K53" s="170">
        <f>'[3]FFIN2 Abril 2018'!$K$76</f>
        <v>-6.2899999999999996E-3</v>
      </c>
      <c r="L53" s="1"/>
      <c r="M53" s="172" t="s">
        <v>76</v>
      </c>
      <c r="N53" s="170">
        <f>'[3]FFIN2 Abril 2018'!$N$76</f>
        <v>5.1460000000000004E-3</v>
      </c>
      <c r="O53" s="170"/>
      <c r="P53" s="178"/>
      <c r="Q53" s="1"/>
      <c r="R53" s="1"/>
      <c r="S53" s="179">
        <f>G48</f>
        <v>253585360.12999997</v>
      </c>
      <c r="T53" s="180"/>
      <c r="Y53" s="1"/>
    </row>
    <row r="54" spans="1:25" s="125" customFormat="1" x14ac:dyDescent="0.25">
      <c r="A54" s="1"/>
      <c r="B54" s="1"/>
      <c r="C54" s="1"/>
      <c r="D54" s="1"/>
      <c r="E54" s="1"/>
      <c r="F54" s="1"/>
      <c r="G54" s="168"/>
      <c r="H54" s="170" t="s">
        <v>77</v>
      </c>
      <c r="I54" s="1"/>
      <c r="J54" s="168"/>
      <c r="K54" s="170"/>
      <c r="L54" s="1"/>
      <c r="M54" s="172"/>
      <c r="N54" s="181"/>
      <c r="O54" s="170"/>
      <c r="P54" s="181"/>
      <c r="Q54" s="1"/>
      <c r="R54" s="1"/>
      <c r="S54" s="182">
        <f>'[3]FFIN2 Abril 2018'!$G$71</f>
        <v>786386020.14999998</v>
      </c>
      <c r="Y54" s="1"/>
    </row>
    <row r="55" spans="1:25" s="1" customFormat="1" x14ac:dyDescent="0.25">
      <c r="D55" t="s">
        <v>78</v>
      </c>
      <c r="G55" s="183">
        <f>'[4]Consolidado Abril 2018'!$G$99</f>
        <v>1039971380.28</v>
      </c>
      <c r="H55" s="170"/>
      <c r="J55" s="168"/>
      <c r="K55" s="170"/>
      <c r="M55" s="184"/>
      <c r="N55" s="181"/>
      <c r="O55" s="170"/>
      <c r="P55" s="181"/>
      <c r="S55" s="185">
        <f>S53+S54</f>
        <v>1039971380.28</v>
      </c>
      <c r="T55" s="125"/>
      <c r="U55" s="125"/>
      <c r="V55" s="125"/>
      <c r="W55" s="125"/>
      <c r="X55" s="125"/>
    </row>
    <row r="56" spans="1:25" s="7" customFormat="1" x14ac:dyDescent="0.25">
      <c r="A56"/>
      <c r="B56"/>
      <c r="C56"/>
      <c r="D56"/>
      <c r="E56"/>
      <c r="F56"/>
      <c r="G56" s="186"/>
      <c r="H56" s="170"/>
      <c r="I56" s="1"/>
      <c r="J56" s="168"/>
      <c r="K56" s="170"/>
      <c r="L56" s="1"/>
      <c r="M56" s="184"/>
      <c r="N56" s="190"/>
      <c r="O56"/>
      <c r="P56" s="190"/>
      <c r="Q56"/>
      <c r="R56"/>
      <c r="S56" s="185"/>
      <c r="Y56"/>
    </row>
    <row r="57" spans="1:25" s="7" customFormat="1" x14ac:dyDescent="0.25">
      <c r="A57"/>
      <c r="B57" s="168"/>
      <c r="C57" s="168"/>
      <c r="D57" s="168"/>
      <c r="E57" s="169"/>
      <c r="F57" s="169"/>
      <c r="G57" s="186"/>
      <c r="H57" s="181"/>
      <c r="I57" s="1"/>
      <c r="J57" s="1"/>
      <c r="K57" s="1"/>
      <c r="L57" s="1"/>
      <c r="M57" s="184"/>
      <c r="N57" s="190"/>
      <c r="O57"/>
      <c r="P57" s="190"/>
      <c r="Q57"/>
      <c r="R57"/>
      <c r="S57"/>
      <c r="Y57"/>
    </row>
    <row r="58" spans="1:25" s="7" customFormat="1" x14ac:dyDescent="0.25">
      <c r="A58"/>
      <c r="B58" s="168"/>
      <c r="C58" s="168"/>
      <c r="D58" s="168"/>
      <c r="E58" s="170"/>
      <c r="F58" s="170"/>
      <c r="G58" s="191"/>
      <c r="H58" s="181"/>
      <c r="I58" s="1"/>
      <c r="J58" s="1"/>
      <c r="K58" s="1"/>
      <c r="L58" s="1"/>
      <c r="M58" s="184"/>
      <c r="N58" s="190"/>
      <c r="O58"/>
      <c r="P58" s="190"/>
      <c r="Q58"/>
      <c r="R58"/>
      <c r="S58"/>
      <c r="Y58"/>
    </row>
    <row r="59" spans="1:25" s="7" customFormat="1" x14ac:dyDescent="0.25">
      <c r="A59"/>
      <c r="B59" s="168"/>
      <c r="C59" s="1"/>
      <c r="D59" s="170"/>
      <c r="E59" s="170"/>
      <c r="F59" s="170"/>
      <c r="G59" s="186"/>
      <c r="H59" s="181"/>
      <c r="I59" s="1"/>
      <c r="J59" s="1"/>
      <c r="K59" s="1"/>
      <c r="L59" s="1"/>
      <c r="M59" s="184"/>
      <c r="N59" s="190"/>
      <c r="O59"/>
      <c r="P59" s="190"/>
      <c r="Q59"/>
      <c r="R59"/>
      <c r="S59"/>
      <c r="Y59"/>
    </row>
    <row r="60" spans="1:25" s="7" customFormat="1" x14ac:dyDescent="0.25">
      <c r="A60"/>
      <c r="B60" s="168"/>
      <c r="C60" s="170"/>
      <c r="D60" s="170"/>
      <c r="E60" s="176"/>
      <c r="F60" s="176"/>
      <c r="G60" s="186"/>
      <c r="H60" s="181"/>
      <c r="I60" s="1"/>
      <c r="J60" s="1"/>
      <c r="K60" s="1"/>
      <c r="L60" s="1"/>
      <c r="M60" s="184" t="s">
        <v>79</v>
      </c>
      <c r="N60" s="190"/>
      <c r="O60"/>
      <c r="P60" s="190"/>
      <c r="Q60"/>
      <c r="R60"/>
      <c r="S60"/>
      <c r="Y60"/>
    </row>
    <row r="61" spans="1:25" s="7" customFormat="1" x14ac:dyDescent="0.25">
      <c r="A61"/>
      <c r="B61" s="168" t="s">
        <v>36</v>
      </c>
      <c r="C61" s="1"/>
      <c r="D61" s="170" t="s">
        <v>80</v>
      </c>
      <c r="E61" s="192">
        <v>2.5000000000000001E-3</v>
      </c>
      <c r="F61" s="1"/>
      <c r="G61" s="186">
        <f>G4+G9+G17+G22+G30</f>
        <v>230617253.27999997</v>
      </c>
      <c r="H61" s="181">
        <f>G61/G64</f>
        <v>0.90942652668030421</v>
      </c>
      <c r="I61" s="1"/>
      <c r="J61" s="1" t="s">
        <v>36</v>
      </c>
      <c r="K61" s="1"/>
      <c r="L61" s="1"/>
      <c r="M61" s="426">
        <f>'[4]Consolidado fevereiro 2018'!$M$104</f>
        <v>838658112.35000002</v>
      </c>
      <c r="N61" s="190">
        <f>M61/M64</f>
        <v>0.81890513514275298</v>
      </c>
      <c r="O61"/>
      <c r="P61" s="190"/>
      <c r="Q61"/>
      <c r="R61"/>
      <c r="S61"/>
      <c r="Y61"/>
    </row>
    <row r="62" spans="1:25" s="7" customFormat="1" x14ac:dyDescent="0.25">
      <c r="A62"/>
      <c r="B62" t="s">
        <v>47</v>
      </c>
      <c r="C62"/>
      <c r="D62" s="170" t="s">
        <v>80</v>
      </c>
      <c r="E62" s="192">
        <v>1.18E-2</v>
      </c>
      <c r="F62">
        <v>3.71</v>
      </c>
      <c r="G62" s="186">
        <f>G33++G34+G35+G40+G44</f>
        <v>22959887.16</v>
      </c>
      <c r="H62" s="181">
        <f>G62/G64</f>
        <v>9.054105942168611E-2</v>
      </c>
      <c r="I62" s="1"/>
      <c r="J62" s="1" t="s">
        <v>47</v>
      </c>
      <c r="K62" s="1"/>
      <c r="L62" s="1"/>
      <c r="M62" s="426">
        <f>'[4]Consolidado fevereiro 2018'!$M$105</f>
        <v>184803995.55999997</v>
      </c>
      <c r="N62" s="190">
        <f>M62/M64</f>
        <v>0.18045129323905537</v>
      </c>
      <c r="O62"/>
      <c r="P62" s="190"/>
      <c r="Q62"/>
      <c r="R62"/>
      <c r="S62"/>
      <c r="Y62"/>
    </row>
    <row r="63" spans="1:25" s="7" customFormat="1" x14ac:dyDescent="0.25">
      <c r="A63"/>
      <c r="B63" t="s">
        <v>81</v>
      </c>
      <c r="C63"/>
      <c r="D63"/>
      <c r="E63" s="194"/>
      <c r="F63"/>
      <c r="G63" s="186">
        <f>G45</f>
        <v>8219.69</v>
      </c>
      <c r="H63" s="181">
        <f>G63/G64</f>
        <v>3.2413898009672933E-5</v>
      </c>
      <c r="I63" s="1"/>
      <c r="J63" s="1" t="s">
        <v>82</v>
      </c>
      <c r="K63" s="1"/>
      <c r="L63" s="1"/>
      <c r="M63" s="426">
        <f>'[4]Consolidado fevereiro 2018'!$M$106</f>
        <v>659095.34000000008</v>
      </c>
      <c r="N63" s="190">
        <f>M63/M64</f>
        <v>6.4357161819166746E-4</v>
      </c>
      <c r="O63"/>
      <c r="P63" s="190"/>
      <c r="Q63"/>
      <c r="R63"/>
      <c r="S63"/>
      <c r="Y63"/>
    </row>
    <row r="64" spans="1:25" s="7" customFormat="1" x14ac:dyDescent="0.25">
      <c r="A64"/>
      <c r="B64"/>
      <c r="C64"/>
      <c r="D64"/>
      <c r="E64" s="192">
        <v>3.3999999999999998E-3</v>
      </c>
      <c r="F64">
        <v>3.19</v>
      </c>
      <c r="G64" s="186">
        <f>G61+G62+G63</f>
        <v>253585360.12999997</v>
      </c>
      <c r="H64" s="181">
        <f>SUM(H61:H63)</f>
        <v>1</v>
      </c>
      <c r="I64" s="1"/>
      <c r="J64" s="125" t="s">
        <v>83</v>
      </c>
      <c r="K64" s="125"/>
      <c r="L64" s="125"/>
      <c r="M64" s="426">
        <f>M61+M62+M63</f>
        <v>1024121203.25</v>
      </c>
      <c r="N64" s="190">
        <f>N61+N62+N63</f>
        <v>1</v>
      </c>
      <c r="O64"/>
      <c r="P64" s="190"/>
      <c r="Q64"/>
      <c r="R64"/>
      <c r="S64"/>
      <c r="Y64"/>
    </row>
    <row r="65" spans="1:25" s="7" customFormat="1" x14ac:dyDescent="0.25">
      <c r="A65"/>
      <c r="B65"/>
      <c r="C65"/>
      <c r="D65"/>
      <c r="E65" s="195"/>
      <c r="F65"/>
      <c r="G65" s="1"/>
      <c r="H65" s="181"/>
      <c r="I65" s="1"/>
      <c r="J65" s="1"/>
      <c r="K65" s="1"/>
      <c r="L65" s="1"/>
      <c r="M65" s="184"/>
      <c r="N65" s="190"/>
      <c r="O65"/>
      <c r="P65" s="190"/>
      <c r="Q65"/>
      <c r="R65"/>
      <c r="S65"/>
      <c r="Y65"/>
    </row>
    <row r="66" spans="1:25" s="7" customFormat="1" x14ac:dyDescent="0.25">
      <c r="A66"/>
      <c r="B66"/>
      <c r="C66"/>
      <c r="D66"/>
      <c r="E66"/>
      <c r="F66"/>
      <c r="G66" s="1"/>
      <c r="H66" s="181"/>
      <c r="I66" s="1"/>
      <c r="J66" s="1"/>
      <c r="K66" s="1"/>
      <c r="L66" s="1"/>
      <c r="M66" s="184"/>
      <c r="N66" s="190"/>
      <c r="O66"/>
      <c r="P66" s="190"/>
      <c r="Q66"/>
      <c r="R66"/>
      <c r="S66"/>
      <c r="Y66"/>
    </row>
    <row r="67" spans="1:25" s="7" customFormat="1" x14ac:dyDescent="0.25">
      <c r="A67"/>
      <c r="B67"/>
      <c r="C67"/>
      <c r="D67"/>
      <c r="E67"/>
      <c r="F67"/>
      <c r="G67" s="1"/>
      <c r="H67" s="181"/>
      <c r="I67" s="1"/>
      <c r="J67" s="1"/>
      <c r="K67" s="1"/>
      <c r="L67" s="1"/>
      <c r="M67" s="184"/>
      <c r="N67" s="190"/>
      <c r="O67"/>
      <c r="P67" s="190"/>
      <c r="Q67"/>
      <c r="R67"/>
      <c r="S67"/>
      <c r="Y67"/>
    </row>
  </sheetData>
  <mergeCells count="33">
    <mergeCell ref="S18:S20"/>
    <mergeCell ref="O18:O20"/>
    <mergeCell ref="P18:P20"/>
    <mergeCell ref="Q18:Q20"/>
    <mergeCell ref="R18:R20"/>
    <mergeCell ref="O46:O47"/>
    <mergeCell ref="P46:P47"/>
    <mergeCell ref="O36:O38"/>
    <mergeCell ref="P36:P38"/>
    <mergeCell ref="Q36:Q38"/>
    <mergeCell ref="R36:R38"/>
    <mergeCell ref="S36:S38"/>
    <mergeCell ref="O41:O42"/>
    <mergeCell ref="P41:P42"/>
    <mergeCell ref="Q41:Q42"/>
    <mergeCell ref="R41:R42"/>
    <mergeCell ref="S41:S42"/>
    <mergeCell ref="O10:O14"/>
    <mergeCell ref="P10:P14"/>
    <mergeCell ref="Q10:Q14"/>
    <mergeCell ref="R10:R14"/>
    <mergeCell ref="S10:S14"/>
    <mergeCell ref="O23:O25"/>
    <mergeCell ref="P23:P25"/>
    <mergeCell ref="Q23:Q25"/>
    <mergeCell ref="R23:R25"/>
    <mergeCell ref="S23:S25"/>
    <mergeCell ref="S5:S8"/>
    <mergeCell ref="P3:R3"/>
    <mergeCell ref="O5:O8"/>
    <mergeCell ref="P5:P8"/>
    <mergeCell ref="Q5:Q8"/>
    <mergeCell ref="R5:R8"/>
  </mergeCells>
  <printOptions horizontalCentered="1"/>
  <pageMargins left="0" right="0" top="0" bottom="0" header="0.19685039370078741" footer="0.3937007874015748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zoomScaleNormal="100" workbookViewId="0">
      <selection activeCell="M7" sqref="M7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2.85546875" style="1" bestFit="1" customWidth="1"/>
    <col min="8" max="8" width="11.5703125" style="18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5" style="184" bestFit="1" customWidth="1"/>
    <col min="14" max="14" width="8.140625" style="190" bestFit="1" customWidth="1"/>
    <col min="15" max="15" width="15.5703125" customWidth="1"/>
    <col min="16" max="16" width="8.42578125" style="190" customWidth="1"/>
    <col min="17" max="17" width="5.5703125" customWidth="1"/>
    <col min="18" max="18" width="6.140625" bestFit="1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183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4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326" t="s">
        <v>8</v>
      </c>
      <c r="Q2" s="20"/>
      <c r="R2" s="21"/>
      <c r="S2" s="22" t="s">
        <v>9</v>
      </c>
      <c r="T2" s="7" t="s">
        <v>10</v>
      </c>
    </row>
    <row r="3" spans="1:25" ht="15.75" thickBot="1" x14ac:dyDescent="0.3">
      <c r="A3" s="8"/>
      <c r="B3" s="23"/>
      <c r="C3" s="24"/>
      <c r="D3" s="25"/>
      <c r="E3" s="26"/>
      <c r="F3" s="27"/>
      <c r="G3" s="28" t="s">
        <v>11</v>
      </c>
      <c r="H3" s="29" t="s">
        <v>12</v>
      </c>
      <c r="I3" s="30" t="s">
        <v>13</v>
      </c>
      <c r="J3" s="31" t="s">
        <v>14</v>
      </c>
      <c r="K3" s="32" t="s">
        <v>15</v>
      </c>
      <c r="L3" s="33"/>
      <c r="M3" s="34" t="s">
        <v>16</v>
      </c>
      <c r="N3" s="35" t="s">
        <v>17</v>
      </c>
      <c r="O3" s="36"/>
      <c r="P3" s="548" t="s">
        <v>18</v>
      </c>
      <c r="Q3" s="549"/>
      <c r="R3" s="550"/>
      <c r="S3" s="37" t="s">
        <v>19</v>
      </c>
      <c r="T3" s="38"/>
      <c r="U3" s="38"/>
      <c r="V3" s="38"/>
      <c r="W3" s="38"/>
      <c r="X3" s="38"/>
      <c r="Y3" s="38"/>
    </row>
    <row r="4" spans="1:25" s="52" customFormat="1" ht="12" customHeight="1" thickBot="1" x14ac:dyDescent="0.25">
      <c r="A4" s="39"/>
      <c r="B4" s="224" t="s">
        <v>84</v>
      </c>
      <c r="C4" s="225"/>
      <c r="D4" s="226"/>
      <c r="E4" s="226"/>
      <c r="F4" s="226"/>
      <c r="G4" s="42">
        <f>SUM(G5:G8)</f>
        <v>40455320.93</v>
      </c>
      <c r="H4" s="43">
        <f t="shared" ref="H4:H13" si="0">G4/$G$50</f>
        <v>0.16018234495114528</v>
      </c>
      <c r="I4" s="44"/>
      <c r="J4" s="44"/>
      <c r="K4" s="44"/>
      <c r="L4" s="44"/>
      <c r="M4" s="45"/>
      <c r="N4" s="46"/>
      <c r="O4" s="47"/>
      <c r="P4" s="327"/>
      <c r="Q4" s="445"/>
      <c r="R4" s="446"/>
      <c r="S4" s="90"/>
      <c r="T4" s="51"/>
      <c r="U4" s="51"/>
      <c r="V4" s="51"/>
      <c r="W4" s="51"/>
      <c r="X4" s="51"/>
      <c r="Y4" s="51"/>
    </row>
    <row r="5" spans="1:25" s="1" customFormat="1" ht="18" x14ac:dyDescent="0.25">
      <c r="A5" s="8"/>
      <c r="B5" s="251" t="s">
        <v>121</v>
      </c>
      <c r="C5" s="54" t="s">
        <v>20</v>
      </c>
      <c r="D5" s="55" t="s">
        <v>116</v>
      </c>
      <c r="E5" s="55"/>
      <c r="F5" s="55"/>
      <c r="G5" s="383">
        <v>12745906.01</v>
      </c>
      <c r="H5" s="64">
        <f t="shared" si="0"/>
        <v>5.0467257860626141E-2</v>
      </c>
      <c r="I5" s="290">
        <v>4.1000000000000003E-3</v>
      </c>
      <c r="J5" s="247" t="s">
        <v>21</v>
      </c>
      <c r="K5" s="247"/>
      <c r="L5" s="252"/>
      <c r="M5" s="98"/>
      <c r="N5" s="253"/>
      <c r="O5" s="551" t="s">
        <v>147</v>
      </c>
      <c r="P5" s="557">
        <f>SUM(G5:G8)/G50</f>
        <v>0.16018234495114528</v>
      </c>
      <c r="Q5" s="510">
        <v>1</v>
      </c>
      <c r="R5" s="542">
        <v>0.4</v>
      </c>
      <c r="S5" s="545" t="s">
        <v>148</v>
      </c>
      <c r="T5" s="57"/>
      <c r="U5" s="57"/>
      <c r="V5" s="56"/>
      <c r="W5" s="57"/>
      <c r="X5" s="57"/>
      <c r="Y5" s="69"/>
    </row>
    <row r="6" spans="1:25" s="1" customFormat="1" ht="18.75" thickBot="1" x14ac:dyDescent="0.3">
      <c r="A6" s="8"/>
      <c r="B6" s="249" t="s">
        <v>121</v>
      </c>
      <c r="C6" s="59" t="s">
        <v>20</v>
      </c>
      <c r="D6" s="60" t="s">
        <v>117</v>
      </c>
      <c r="E6" s="65"/>
      <c r="F6" s="65"/>
      <c r="G6" s="427">
        <v>6360271.25</v>
      </c>
      <c r="H6" s="120">
        <f t="shared" si="0"/>
        <v>2.5183415677586418E-2</v>
      </c>
      <c r="I6" s="292">
        <v>-2.0000000000000001E-4</v>
      </c>
      <c r="J6" s="241" t="s">
        <v>22</v>
      </c>
      <c r="K6" s="242"/>
      <c r="L6" s="243"/>
      <c r="M6" s="462">
        <v>-1.07E-3</v>
      </c>
      <c r="N6" s="63"/>
      <c r="O6" s="552"/>
      <c r="P6" s="558"/>
      <c r="Q6" s="511"/>
      <c r="R6" s="543"/>
      <c r="S6" s="546"/>
      <c r="T6" s="57"/>
      <c r="U6" s="57"/>
      <c r="V6" s="56"/>
      <c r="W6" s="57"/>
      <c r="X6" s="57"/>
      <c r="Y6" s="69"/>
    </row>
    <row r="7" spans="1:25" s="1" customFormat="1" ht="18.75" thickBot="1" x14ac:dyDescent="0.3">
      <c r="A7" s="8"/>
      <c r="B7" s="249" t="s">
        <v>121</v>
      </c>
      <c r="C7" s="59" t="s">
        <v>20</v>
      </c>
      <c r="D7" s="60" t="s">
        <v>118</v>
      </c>
      <c r="E7" s="65"/>
      <c r="F7" s="65"/>
      <c r="G7" s="411">
        <v>11057246.029999999</v>
      </c>
      <c r="H7" s="61">
        <f t="shared" si="0"/>
        <v>4.3781029468331581E-2</v>
      </c>
      <c r="I7" s="62">
        <v>-1.4E-3</v>
      </c>
      <c r="J7" s="244" t="s">
        <v>119</v>
      </c>
      <c r="K7" s="242"/>
      <c r="L7" s="248"/>
      <c r="M7" s="98"/>
      <c r="N7" s="63"/>
      <c r="O7" s="552"/>
      <c r="P7" s="558"/>
      <c r="Q7" s="511"/>
      <c r="R7" s="543"/>
      <c r="S7" s="546"/>
      <c r="T7" s="57"/>
      <c r="U7" s="57"/>
      <c r="V7" s="56"/>
      <c r="W7" s="57"/>
      <c r="X7" s="57"/>
      <c r="Y7" s="69"/>
    </row>
    <row r="8" spans="1:25" s="1" customFormat="1" ht="18.75" thickBot="1" x14ac:dyDescent="0.3">
      <c r="A8" s="8"/>
      <c r="B8" s="250" t="s">
        <v>122</v>
      </c>
      <c r="C8" s="59" t="s">
        <v>20</v>
      </c>
      <c r="D8" s="67" t="s">
        <v>120</v>
      </c>
      <c r="E8" s="67"/>
      <c r="F8" s="67"/>
      <c r="G8" s="417">
        <v>10291897.640000001</v>
      </c>
      <c r="H8" s="121">
        <f t="shared" si="0"/>
        <v>4.0750641944601131E-2</v>
      </c>
      <c r="I8" s="295">
        <v>-6.0000000000000001E-3</v>
      </c>
      <c r="J8" s="245" t="s">
        <v>23</v>
      </c>
      <c r="K8" s="245"/>
      <c r="L8" s="246"/>
      <c r="M8" s="106"/>
      <c r="N8" s="63"/>
      <c r="O8" s="553"/>
      <c r="P8" s="559"/>
      <c r="Q8" s="512"/>
      <c r="R8" s="544"/>
      <c r="S8" s="547"/>
      <c r="T8" s="57"/>
      <c r="U8" s="57"/>
      <c r="V8" s="56"/>
      <c r="W8" s="57"/>
      <c r="X8" s="57"/>
      <c r="Y8" s="69"/>
    </row>
    <row r="9" spans="1:25" s="52" customFormat="1" ht="16.5" thickBot="1" x14ac:dyDescent="0.25">
      <c r="A9" s="39"/>
      <c r="B9" s="224" t="s">
        <v>85</v>
      </c>
      <c r="C9" s="225"/>
      <c r="D9" s="226"/>
      <c r="E9" s="226"/>
      <c r="F9" s="226"/>
      <c r="G9" s="42">
        <f>SUM(G10:G15)</f>
        <v>130791035.18000001</v>
      </c>
      <c r="H9" s="83">
        <f t="shared" si="0"/>
        <v>0.51786549289698436</v>
      </c>
      <c r="I9" s="70"/>
      <c r="J9" s="71"/>
      <c r="K9" s="44"/>
      <c r="L9" s="44"/>
      <c r="M9" s="87"/>
      <c r="N9" s="254"/>
      <c r="O9" s="47"/>
      <c r="P9" s="447"/>
      <c r="Q9" s="448"/>
      <c r="R9" s="449"/>
      <c r="S9" s="444"/>
      <c r="T9" s="51"/>
      <c r="U9" s="51"/>
      <c r="V9" s="51"/>
      <c r="W9" s="51"/>
      <c r="X9" s="51"/>
      <c r="Y9" s="51"/>
    </row>
    <row r="10" spans="1:25" s="52" customFormat="1" ht="18.75" thickBot="1" x14ac:dyDescent="0.3">
      <c r="A10" s="39"/>
      <c r="B10" s="388" t="s">
        <v>172</v>
      </c>
      <c r="C10" s="75" t="s">
        <v>24</v>
      </c>
      <c r="D10" s="389" t="s">
        <v>173</v>
      </c>
      <c r="E10" s="390" t="s">
        <v>25</v>
      </c>
      <c r="F10" s="390" t="s">
        <v>26</v>
      </c>
      <c r="G10" s="402">
        <v>14801055.289999999</v>
      </c>
      <c r="H10" s="396">
        <f t="shared" si="0"/>
        <v>5.8604596122375972E-2</v>
      </c>
      <c r="I10" s="392">
        <v>-1.5800000000000002E-2</v>
      </c>
      <c r="J10" s="313"/>
      <c r="K10" s="438"/>
      <c r="L10" s="440" t="s">
        <v>27</v>
      </c>
      <c r="M10" s="443">
        <v>1277276763.3299999</v>
      </c>
      <c r="N10" s="395">
        <f t="shared" ref="N10:N12" si="1">G10/M10</f>
        <v>1.158797820091241E-2</v>
      </c>
      <c r="O10" s="536" t="s">
        <v>28</v>
      </c>
      <c r="P10" s="507">
        <f>SUM(G12:G14)/G50</f>
        <v>0.40166548469709917</v>
      </c>
      <c r="Q10" s="542">
        <v>1</v>
      </c>
      <c r="R10" s="513">
        <v>0.5</v>
      </c>
      <c r="S10" s="533" t="s">
        <v>146</v>
      </c>
      <c r="T10" s="51"/>
      <c r="U10" s="51"/>
      <c r="V10" s="51"/>
      <c r="W10" s="51"/>
      <c r="X10" s="51"/>
      <c r="Y10" s="51"/>
    </row>
    <row r="11" spans="1:25" s="52" customFormat="1" ht="18" x14ac:dyDescent="0.25">
      <c r="A11" s="39"/>
      <c r="B11" s="76" t="s">
        <v>172</v>
      </c>
      <c r="C11" s="75" t="s">
        <v>177</v>
      </c>
      <c r="D11" s="65" t="s">
        <v>178</v>
      </c>
      <c r="E11" s="117" t="s">
        <v>25</v>
      </c>
      <c r="F11" s="82" t="s">
        <v>26</v>
      </c>
      <c r="G11" s="411">
        <v>9868115.0700000003</v>
      </c>
      <c r="H11" s="64">
        <f t="shared" si="0"/>
        <v>3.9072680078237984E-2</v>
      </c>
      <c r="I11" s="416">
        <v>-1.9099999999999999E-2</v>
      </c>
      <c r="J11" s="277"/>
      <c r="K11" s="439"/>
      <c r="L11" s="441" t="s">
        <v>27</v>
      </c>
      <c r="M11" s="442">
        <v>3054612016.3800001</v>
      </c>
      <c r="N11" s="401">
        <f t="shared" si="1"/>
        <v>3.2305625123856601E-3</v>
      </c>
      <c r="O11" s="537"/>
      <c r="P11" s="508"/>
      <c r="Q11" s="543"/>
      <c r="R11" s="514"/>
      <c r="S11" s="534"/>
      <c r="T11" s="51"/>
      <c r="U11" s="51"/>
      <c r="V11" s="51"/>
      <c r="W11" s="51"/>
      <c r="X11" s="51"/>
      <c r="Y11" s="51"/>
    </row>
    <row r="12" spans="1:25" s="1" customFormat="1" ht="15.75" customHeight="1" thickBot="1" x14ac:dyDescent="0.3">
      <c r="A12" s="8"/>
      <c r="B12" s="76" t="s">
        <v>123</v>
      </c>
      <c r="C12" s="77" t="s">
        <v>29</v>
      </c>
      <c r="D12" s="55" t="s">
        <v>30</v>
      </c>
      <c r="E12" s="78" t="s">
        <v>25</v>
      </c>
      <c r="F12" s="79" t="s">
        <v>26</v>
      </c>
      <c r="G12" s="383">
        <v>17698441.809999999</v>
      </c>
      <c r="H12" s="64">
        <f t="shared" si="0"/>
        <v>7.0076762362423606E-2</v>
      </c>
      <c r="I12" s="378">
        <v>-1.8568000000000001E-2</v>
      </c>
      <c r="J12" s="80"/>
      <c r="K12" s="255"/>
      <c r="L12" s="123" t="s">
        <v>31</v>
      </c>
      <c r="M12" s="408">
        <v>5820256953.7399998</v>
      </c>
      <c r="N12" s="400">
        <f t="shared" si="1"/>
        <v>3.0408351299038914E-3</v>
      </c>
      <c r="O12" s="537"/>
      <c r="P12" s="508"/>
      <c r="Q12" s="543"/>
      <c r="R12" s="514"/>
      <c r="S12" s="534"/>
      <c r="T12" s="57"/>
      <c r="U12" s="57"/>
      <c r="V12" s="56"/>
      <c r="W12" s="57"/>
      <c r="X12" s="57"/>
      <c r="Y12" s="69"/>
    </row>
    <row r="13" spans="1:25" s="1" customFormat="1" ht="18.75" thickBot="1" x14ac:dyDescent="0.3">
      <c r="A13" s="8"/>
      <c r="B13" s="84" t="s">
        <v>124</v>
      </c>
      <c r="C13" s="67" t="s">
        <v>33</v>
      </c>
      <c r="D13" s="60" t="s">
        <v>35</v>
      </c>
      <c r="E13" s="82" t="s">
        <v>25</v>
      </c>
      <c r="F13" s="82" t="s">
        <v>25</v>
      </c>
      <c r="G13" s="411">
        <v>41542012.280000001</v>
      </c>
      <c r="H13" s="64">
        <f t="shared" si="0"/>
        <v>0.1644850859671495</v>
      </c>
      <c r="I13" s="412">
        <v>-1.9134999999999999E-2</v>
      </c>
      <c r="J13" s="257"/>
      <c r="K13" s="258"/>
      <c r="L13" s="259" t="s">
        <v>34</v>
      </c>
      <c r="M13" s="409">
        <v>2993117129.6599998</v>
      </c>
      <c r="N13" s="399">
        <f>G13/M13</f>
        <v>1.3879180292793595E-2</v>
      </c>
      <c r="O13" s="537"/>
      <c r="P13" s="508"/>
      <c r="Q13" s="543"/>
      <c r="R13" s="514"/>
      <c r="S13" s="534"/>
      <c r="T13" s="57"/>
      <c r="U13" s="57"/>
      <c r="V13" s="56"/>
      <c r="W13" s="57"/>
      <c r="X13" s="57"/>
      <c r="Y13" s="69"/>
    </row>
    <row r="14" spans="1:25" s="1" customFormat="1" ht="18" x14ac:dyDescent="0.25">
      <c r="A14" s="8"/>
      <c r="B14" s="53" t="s">
        <v>124</v>
      </c>
      <c r="C14" s="118" t="s">
        <v>33</v>
      </c>
      <c r="D14" s="65" t="s">
        <v>125</v>
      </c>
      <c r="E14" s="82" t="s">
        <v>25</v>
      </c>
      <c r="F14" s="82" t="s">
        <v>25</v>
      </c>
      <c r="G14" s="411">
        <v>42203347.939999998</v>
      </c>
      <c r="H14" s="397">
        <f>G14/$G$50</f>
        <v>0.16710363636752606</v>
      </c>
      <c r="I14" s="412">
        <v>-1.5869999999999999E-2</v>
      </c>
      <c r="J14" s="86"/>
      <c r="K14" s="261"/>
      <c r="L14" s="259" t="s">
        <v>34</v>
      </c>
      <c r="M14" s="410">
        <v>7970993081.7200003</v>
      </c>
      <c r="N14" s="399">
        <f>G14/M14</f>
        <v>5.2946160544017507E-3</v>
      </c>
      <c r="O14" s="537"/>
      <c r="P14" s="508"/>
      <c r="Q14" s="543"/>
      <c r="R14" s="514"/>
      <c r="S14" s="534"/>
      <c r="T14" s="57"/>
      <c r="U14" s="57"/>
      <c r="V14" s="56"/>
      <c r="W14" s="57"/>
      <c r="X14" s="57"/>
      <c r="Y14" s="69"/>
    </row>
    <row r="15" spans="1:25" s="1" customFormat="1" ht="18.75" thickBot="1" x14ac:dyDescent="0.3">
      <c r="A15" s="8">
        <v>12</v>
      </c>
      <c r="B15" s="452" t="s">
        <v>139</v>
      </c>
      <c r="C15" s="66" t="s">
        <v>48</v>
      </c>
      <c r="D15" s="461" t="s">
        <v>187</v>
      </c>
      <c r="E15" s="79" t="s">
        <v>25</v>
      </c>
      <c r="F15" s="79" t="s">
        <v>26</v>
      </c>
      <c r="G15" s="385">
        <v>4678062.79</v>
      </c>
      <c r="H15" s="64">
        <f t="shared" ref="H15" si="2">G15/$G$50</f>
        <v>1.8522731999271205E-2</v>
      </c>
      <c r="I15" s="386">
        <v>-1.5599999999999999E-2</v>
      </c>
      <c r="J15" s="277"/>
      <c r="K15" s="269"/>
      <c r="L15" s="259" t="s">
        <v>34</v>
      </c>
      <c r="M15" s="387">
        <v>249502279.08000001</v>
      </c>
      <c r="N15" s="61">
        <f t="shared" ref="N15" si="3">G15/M15</f>
        <v>1.8749579391617636E-2</v>
      </c>
      <c r="O15" s="538"/>
      <c r="P15" s="509"/>
      <c r="Q15" s="544"/>
      <c r="R15" s="515"/>
      <c r="S15" s="535"/>
      <c r="T15" s="57"/>
      <c r="U15" s="57"/>
      <c r="V15" s="56"/>
      <c r="W15" s="57"/>
      <c r="X15" s="57"/>
      <c r="Y15" s="69"/>
    </row>
    <row r="16" spans="1:25" s="1" customFormat="1" ht="16.5" thickBot="1" x14ac:dyDescent="0.3">
      <c r="A16" s="113"/>
      <c r="B16" s="227" t="s">
        <v>91</v>
      </c>
      <c r="C16" s="228"/>
      <c r="D16" s="229"/>
      <c r="E16" s="230"/>
      <c r="F16" s="230"/>
      <c r="G16" s="214"/>
      <c r="H16" s="43"/>
      <c r="I16" s="43"/>
      <c r="J16" s="43"/>
      <c r="K16" s="206"/>
      <c r="L16" s="210"/>
      <c r="M16" s="202"/>
      <c r="N16" s="115"/>
      <c r="O16" s="203" t="s">
        <v>28</v>
      </c>
      <c r="P16" s="329">
        <v>0</v>
      </c>
      <c r="Q16" s="108">
        <v>1</v>
      </c>
      <c r="R16" s="74">
        <v>0</v>
      </c>
      <c r="S16" s="450" t="s">
        <v>86</v>
      </c>
      <c r="T16" s="57"/>
      <c r="U16" s="57"/>
      <c r="V16" s="56"/>
      <c r="W16" s="57"/>
      <c r="X16" s="57"/>
      <c r="Y16" s="69"/>
    </row>
    <row r="17" spans="1:25" s="1" customFormat="1" ht="16.5" thickBot="1" x14ac:dyDescent="0.3">
      <c r="A17" s="113"/>
      <c r="B17" s="227" t="s">
        <v>87</v>
      </c>
      <c r="C17" s="228"/>
      <c r="D17" s="231"/>
      <c r="E17" s="232"/>
      <c r="F17" s="232"/>
      <c r="G17" s="215"/>
      <c r="H17" s="43"/>
      <c r="I17" s="83"/>
      <c r="J17" s="83"/>
      <c r="K17" s="119"/>
      <c r="L17" s="81"/>
      <c r="M17" s="98"/>
      <c r="N17" s="312"/>
      <c r="O17" s="209" t="s">
        <v>28</v>
      </c>
      <c r="P17" s="330">
        <v>0</v>
      </c>
      <c r="Q17" s="107">
        <v>0.05</v>
      </c>
      <c r="R17" s="108">
        <v>0</v>
      </c>
      <c r="S17" s="109" t="s">
        <v>88</v>
      </c>
      <c r="T17" s="57"/>
      <c r="U17" s="57"/>
      <c r="V17" s="56"/>
      <c r="W17" s="57"/>
      <c r="X17" s="57"/>
      <c r="Y17" s="69"/>
    </row>
    <row r="18" spans="1:25" s="52" customFormat="1" ht="16.5" thickBot="1" x14ac:dyDescent="0.25">
      <c r="A18" s="39"/>
      <c r="B18" s="224" t="s">
        <v>89</v>
      </c>
      <c r="C18" s="225"/>
      <c r="D18" s="226"/>
      <c r="E18" s="226"/>
      <c r="F18" s="226"/>
      <c r="G18" s="42">
        <f>SUM(G19:G21)</f>
        <v>49530271.060000002</v>
      </c>
      <c r="H18" s="43">
        <f>G18/$G$50</f>
        <v>0.19611449821853258</v>
      </c>
      <c r="I18" s="70"/>
      <c r="J18" s="44"/>
      <c r="K18" s="44"/>
      <c r="L18" s="211"/>
      <c r="M18" s="87"/>
      <c r="N18" s="88"/>
      <c r="O18" s="94"/>
      <c r="P18" s="331">
        <v>0</v>
      </c>
      <c r="Q18" s="445"/>
      <c r="R18" s="213"/>
      <c r="S18" s="90"/>
      <c r="T18" s="51"/>
      <c r="U18" s="51"/>
      <c r="V18" s="51"/>
      <c r="W18" s="51"/>
      <c r="X18" s="51"/>
      <c r="Y18" s="51"/>
    </row>
    <row r="19" spans="1:25" s="52" customFormat="1" ht="18.75" customHeight="1" thickBot="1" x14ac:dyDescent="0.3">
      <c r="A19" s="39"/>
      <c r="B19" s="76" t="s">
        <v>140</v>
      </c>
      <c r="C19" s="77" t="s">
        <v>29</v>
      </c>
      <c r="D19" s="55" t="s">
        <v>37</v>
      </c>
      <c r="E19" s="79" t="s">
        <v>25</v>
      </c>
      <c r="F19" s="117" t="s">
        <v>26</v>
      </c>
      <c r="G19" s="383">
        <v>19837788.559999999</v>
      </c>
      <c r="H19" s="97">
        <f>G19/$G$50</f>
        <v>7.8547479469613574E-2</v>
      </c>
      <c r="I19" s="378">
        <v>-1.5664999999999998E-2</v>
      </c>
      <c r="J19" s="80"/>
      <c r="K19" s="255"/>
      <c r="L19" s="259" t="s">
        <v>34</v>
      </c>
      <c r="M19" s="408">
        <v>2288647358.1100001</v>
      </c>
      <c r="N19" s="400">
        <f>G19/M19</f>
        <v>8.6679096671242288E-3</v>
      </c>
      <c r="O19" s="563" t="s">
        <v>179</v>
      </c>
      <c r="P19" s="566">
        <f>SUM(H19:H21)/H50</f>
        <v>0.19611449821853255</v>
      </c>
      <c r="Q19" s="542">
        <v>0.6</v>
      </c>
      <c r="R19" s="542">
        <v>0.35</v>
      </c>
      <c r="S19" s="560" t="s">
        <v>180</v>
      </c>
      <c r="T19" s="51"/>
      <c r="U19" s="51"/>
      <c r="V19" s="51"/>
      <c r="W19" s="51"/>
      <c r="X19" s="51"/>
      <c r="Y19" s="51"/>
    </row>
    <row r="20" spans="1:25" s="52" customFormat="1" ht="18" x14ac:dyDescent="0.25">
      <c r="A20" s="39"/>
      <c r="B20" s="53" t="s">
        <v>127</v>
      </c>
      <c r="C20" s="118" t="s">
        <v>128</v>
      </c>
      <c r="D20" s="65" t="s">
        <v>129</v>
      </c>
      <c r="E20" s="79" t="s">
        <v>25</v>
      </c>
      <c r="F20" s="79" t="s">
        <v>25</v>
      </c>
      <c r="G20" s="411">
        <v>21034079.59</v>
      </c>
      <c r="H20" s="97">
        <f>G20/$G$50</f>
        <v>8.3284179068684613E-2</v>
      </c>
      <c r="I20" s="412">
        <v>-3.0698E-2</v>
      </c>
      <c r="J20" s="367"/>
      <c r="K20" s="261"/>
      <c r="L20" s="259" t="s">
        <v>27</v>
      </c>
      <c r="M20" s="384">
        <v>2073916235.3800001</v>
      </c>
      <c r="N20" s="400">
        <f>G20/M20</f>
        <v>1.0142203060648667E-2</v>
      </c>
      <c r="O20" s="564"/>
      <c r="P20" s="567"/>
      <c r="Q20" s="543"/>
      <c r="R20" s="543"/>
      <c r="S20" s="561"/>
      <c r="T20" s="51"/>
      <c r="U20" s="51"/>
      <c r="V20" s="51"/>
      <c r="W20" s="51"/>
      <c r="X20" s="51"/>
      <c r="Y20" s="51"/>
    </row>
    <row r="21" spans="1:25" s="52" customFormat="1" ht="18.75" thickBot="1" x14ac:dyDescent="0.3">
      <c r="A21" s="39"/>
      <c r="B21" s="53" t="s">
        <v>126</v>
      </c>
      <c r="C21" s="91" t="s">
        <v>38</v>
      </c>
      <c r="D21" s="92" t="s">
        <v>39</v>
      </c>
      <c r="E21" s="78" t="s">
        <v>25</v>
      </c>
      <c r="F21" s="78" t="s">
        <v>26</v>
      </c>
      <c r="G21" s="383">
        <v>8658402.9100000001</v>
      </c>
      <c r="H21" s="97">
        <f>G21/$G$50</f>
        <v>3.4282839680234371E-2</v>
      </c>
      <c r="I21" s="378">
        <v>-1.72E-2</v>
      </c>
      <c r="J21" s="80"/>
      <c r="K21" s="271"/>
      <c r="L21" s="272" t="s">
        <v>34</v>
      </c>
      <c r="M21" s="384">
        <v>559136229.24000001</v>
      </c>
      <c r="N21" s="400">
        <f>G21/M21</f>
        <v>1.5485319063958424E-2</v>
      </c>
      <c r="O21" s="565"/>
      <c r="P21" s="568"/>
      <c r="Q21" s="544"/>
      <c r="R21" s="544"/>
      <c r="S21" s="562"/>
      <c r="T21" s="51"/>
      <c r="U21" s="51"/>
      <c r="V21" s="51"/>
      <c r="W21" s="51"/>
      <c r="X21" s="51"/>
      <c r="Y21" s="51"/>
    </row>
    <row r="22" spans="1:25" s="1" customFormat="1" ht="16.5" thickBot="1" x14ac:dyDescent="0.3">
      <c r="A22" s="8"/>
      <c r="B22" s="233" t="s">
        <v>96</v>
      </c>
      <c r="C22" s="228"/>
      <c r="D22" s="234"/>
      <c r="E22" s="230"/>
      <c r="F22" s="232"/>
      <c r="G22" s="200"/>
      <c r="H22" s="218"/>
      <c r="I22" s="124"/>
      <c r="J22" s="124"/>
      <c r="K22" s="219"/>
      <c r="L22" s="317"/>
      <c r="M22" s="220"/>
      <c r="N22" s="43"/>
      <c r="O22" s="212" t="s">
        <v>90</v>
      </c>
      <c r="P22" s="330">
        <v>0</v>
      </c>
      <c r="Q22" s="108">
        <v>0.6</v>
      </c>
      <c r="R22" s="108">
        <v>0</v>
      </c>
      <c r="S22" s="207" t="s">
        <v>95</v>
      </c>
      <c r="T22" s="93"/>
      <c r="U22" s="57"/>
      <c r="V22" s="56"/>
      <c r="W22" s="56"/>
      <c r="X22" s="56"/>
      <c r="Y22" s="58"/>
    </row>
    <row r="23" spans="1:25" s="52" customFormat="1" ht="16.5" thickBot="1" x14ac:dyDescent="0.25">
      <c r="A23" s="39"/>
      <c r="B23" s="224" t="s">
        <v>92</v>
      </c>
      <c r="C23" s="225"/>
      <c r="D23" s="226"/>
      <c r="E23" s="226"/>
      <c r="F23" s="226"/>
      <c r="G23" s="221">
        <f>SUM(G24:G26)</f>
        <v>9692641.8099999987</v>
      </c>
      <c r="H23" s="124">
        <f>G23/$G$50</f>
        <v>3.8377895866498389E-2</v>
      </c>
      <c r="I23" s="217"/>
      <c r="J23" s="44"/>
      <c r="K23" s="102"/>
      <c r="L23" s="44"/>
      <c r="M23" s="87"/>
      <c r="N23" s="88"/>
      <c r="O23" s="41"/>
      <c r="P23" s="332"/>
      <c r="Q23" s="445"/>
      <c r="R23" s="446"/>
      <c r="S23" s="94"/>
      <c r="T23" s="51"/>
      <c r="U23" s="51"/>
      <c r="V23" s="51"/>
      <c r="W23" s="51"/>
      <c r="X23" s="51"/>
      <c r="Y23" s="51"/>
    </row>
    <row r="24" spans="1:25" s="1" customFormat="1" ht="18.75" thickBot="1" x14ac:dyDescent="0.3">
      <c r="A24" s="8"/>
      <c r="B24" s="53" t="s">
        <v>141</v>
      </c>
      <c r="C24" s="91" t="s">
        <v>40</v>
      </c>
      <c r="D24" s="60" t="s">
        <v>41</v>
      </c>
      <c r="E24" s="85" t="s">
        <v>42</v>
      </c>
      <c r="F24" s="85" t="s">
        <v>42</v>
      </c>
      <c r="G24" s="404">
        <v>40617.760000000002</v>
      </c>
      <c r="H24" s="95">
        <f>G24/$G$50</f>
        <v>1.6082552044811651E-4</v>
      </c>
      <c r="I24" s="405">
        <v>5.0000000000000001E-3</v>
      </c>
      <c r="J24" s="277"/>
      <c r="K24" s="269"/>
      <c r="L24" s="259" t="s">
        <v>43</v>
      </c>
      <c r="M24" s="406">
        <v>6823037381.7600002</v>
      </c>
      <c r="N24" s="399">
        <f>G24/M24</f>
        <v>5.9530320189338702E-6</v>
      </c>
      <c r="O24" s="504" t="s">
        <v>36</v>
      </c>
      <c r="P24" s="527">
        <f>SUM(G24:G26)/G50</f>
        <v>3.8377895866498389E-2</v>
      </c>
      <c r="Q24" s="530">
        <v>0.4</v>
      </c>
      <c r="R24" s="530">
        <v>0.3</v>
      </c>
      <c r="S24" s="533" t="s">
        <v>149</v>
      </c>
      <c r="T24" s="57"/>
      <c r="U24" s="57"/>
      <c r="V24" s="56"/>
      <c r="W24" s="57"/>
      <c r="X24" s="57"/>
      <c r="Y24" s="69"/>
    </row>
    <row r="25" spans="1:25" s="1" customFormat="1" ht="18.75" thickBot="1" x14ac:dyDescent="0.3">
      <c r="A25" s="8"/>
      <c r="B25" s="53" t="s">
        <v>130</v>
      </c>
      <c r="C25" s="75" t="s">
        <v>24</v>
      </c>
      <c r="D25" s="60" t="s">
        <v>44</v>
      </c>
      <c r="E25" s="85" t="s">
        <v>25</v>
      </c>
      <c r="F25" s="85" t="s">
        <v>26</v>
      </c>
      <c r="G25" s="377">
        <v>8569857.7699999996</v>
      </c>
      <c r="H25" s="95">
        <f>G25/$G$50</f>
        <v>3.3932246288977654E-2</v>
      </c>
      <c r="I25" s="416">
        <v>-3.5000000000000001E-3</v>
      </c>
      <c r="J25" s="80"/>
      <c r="K25" s="258"/>
      <c r="L25" s="259" t="s">
        <v>45</v>
      </c>
      <c r="M25" s="414">
        <v>1490374454.0699999</v>
      </c>
      <c r="N25" s="399">
        <f t="shared" ref="N25:N26" si="4">G25/M25</f>
        <v>5.7501373205887558E-3</v>
      </c>
      <c r="O25" s="505"/>
      <c r="P25" s="528"/>
      <c r="Q25" s="531"/>
      <c r="R25" s="531"/>
      <c r="S25" s="534"/>
      <c r="T25" s="57"/>
      <c r="U25" s="57"/>
      <c r="V25" s="56"/>
      <c r="W25" s="57"/>
      <c r="X25" s="57"/>
      <c r="Y25" s="69"/>
    </row>
    <row r="26" spans="1:25" s="1" customFormat="1" ht="18.75" thickBot="1" x14ac:dyDescent="0.3">
      <c r="A26" s="8">
        <v>23</v>
      </c>
      <c r="B26" s="53" t="s">
        <v>131</v>
      </c>
      <c r="C26" s="75" t="s">
        <v>132</v>
      </c>
      <c r="D26" s="60" t="s">
        <v>182</v>
      </c>
      <c r="E26" s="85" t="s">
        <v>25</v>
      </c>
      <c r="F26" s="85" t="s">
        <v>25</v>
      </c>
      <c r="G26" s="404">
        <v>1082166.28</v>
      </c>
      <c r="H26" s="95">
        <f>G26/$G$50</f>
        <v>4.2848240570726248E-3</v>
      </c>
      <c r="I26" s="412">
        <v>5.0000000000000001E-3</v>
      </c>
      <c r="J26" s="86"/>
      <c r="K26" s="258"/>
      <c r="L26" s="315" t="s">
        <v>43</v>
      </c>
      <c r="M26" s="415">
        <v>11178643343.379999</v>
      </c>
      <c r="N26" s="401">
        <f t="shared" si="4"/>
        <v>9.6806584373304989E-5</v>
      </c>
      <c r="O26" s="506"/>
      <c r="P26" s="529"/>
      <c r="Q26" s="532"/>
      <c r="R26" s="532"/>
      <c r="S26" s="535"/>
      <c r="T26" s="57"/>
      <c r="U26" s="57"/>
      <c r="V26" s="56"/>
      <c r="W26" s="57"/>
      <c r="X26" s="57"/>
      <c r="Y26" s="69"/>
    </row>
    <row r="27" spans="1:25" s="1" customFormat="1" ht="16.5" thickBot="1" x14ac:dyDescent="0.3">
      <c r="A27" s="8"/>
      <c r="B27" s="233" t="s">
        <v>93</v>
      </c>
      <c r="C27" s="228"/>
      <c r="D27" s="231"/>
      <c r="E27" s="235"/>
      <c r="F27" s="235"/>
      <c r="G27" s="214"/>
      <c r="H27" s="218"/>
      <c r="I27" s="43"/>
      <c r="J27" s="43"/>
      <c r="K27" s="206"/>
      <c r="L27" s="222"/>
      <c r="M27" s="204"/>
      <c r="N27" s="115"/>
      <c r="O27" s="212" t="s">
        <v>36</v>
      </c>
      <c r="P27" s="330">
        <v>0</v>
      </c>
      <c r="Q27" s="107">
        <v>0.4</v>
      </c>
      <c r="R27" s="108">
        <v>0</v>
      </c>
      <c r="S27" s="109" t="s">
        <v>94</v>
      </c>
      <c r="T27" s="57"/>
      <c r="U27" s="57"/>
      <c r="V27" s="56"/>
      <c r="W27" s="57"/>
      <c r="X27" s="57"/>
      <c r="Y27" s="69"/>
    </row>
    <row r="28" spans="1:25" s="1" customFormat="1" ht="16.5" thickBot="1" x14ac:dyDescent="0.3">
      <c r="A28" s="8"/>
      <c r="B28" s="233" t="s">
        <v>97</v>
      </c>
      <c r="C28" s="228"/>
      <c r="D28" s="229"/>
      <c r="E28" s="235"/>
      <c r="F28" s="235"/>
      <c r="G28" s="214"/>
      <c r="H28" s="124"/>
      <c r="I28" s="43"/>
      <c r="J28" s="124"/>
      <c r="K28" s="100"/>
      <c r="L28" s="222"/>
      <c r="M28" s="101"/>
      <c r="N28" s="322"/>
      <c r="O28" s="275" t="s">
        <v>36</v>
      </c>
      <c r="P28" s="330">
        <v>0</v>
      </c>
      <c r="Q28" s="108">
        <v>0.2</v>
      </c>
      <c r="R28" s="74">
        <v>0</v>
      </c>
      <c r="S28" s="109" t="s">
        <v>98</v>
      </c>
      <c r="T28" s="57"/>
      <c r="U28" s="57"/>
      <c r="V28" s="56"/>
      <c r="W28" s="57"/>
      <c r="X28" s="57"/>
      <c r="Y28" s="69"/>
    </row>
    <row r="29" spans="1:25" s="1" customFormat="1" ht="16.5" thickBot="1" x14ac:dyDescent="0.3">
      <c r="A29" s="8"/>
      <c r="B29" s="233" t="s">
        <v>99</v>
      </c>
      <c r="C29" s="228"/>
      <c r="D29" s="229"/>
      <c r="E29" s="235"/>
      <c r="F29" s="235"/>
      <c r="G29" s="205"/>
      <c r="H29" s="124"/>
      <c r="I29" s="43"/>
      <c r="J29" s="124"/>
      <c r="K29" s="100"/>
      <c r="L29" s="222"/>
      <c r="M29" s="101"/>
      <c r="N29" s="322"/>
      <c r="O29" s="201" t="s">
        <v>36</v>
      </c>
      <c r="P29" s="451">
        <v>0</v>
      </c>
      <c r="Q29" s="73">
        <v>0.15</v>
      </c>
      <c r="R29" s="74">
        <v>0</v>
      </c>
      <c r="S29" s="109" t="s">
        <v>101</v>
      </c>
      <c r="T29" s="57"/>
      <c r="U29" s="57"/>
      <c r="V29" s="56"/>
      <c r="W29" s="57"/>
      <c r="X29" s="57"/>
      <c r="Y29" s="69"/>
    </row>
    <row r="30" spans="1:25" s="1" customFormat="1" ht="16.5" thickBot="1" x14ac:dyDescent="0.3">
      <c r="A30" s="8"/>
      <c r="B30" s="233" t="s">
        <v>100</v>
      </c>
      <c r="C30" s="228"/>
      <c r="D30" s="229"/>
      <c r="E30" s="235"/>
      <c r="F30" s="235"/>
      <c r="G30" s="205"/>
      <c r="H30" s="124"/>
      <c r="I30" s="43"/>
      <c r="J30" s="124"/>
      <c r="K30" s="100"/>
      <c r="L30" s="222"/>
      <c r="M30" s="101"/>
      <c r="N30" s="322"/>
      <c r="O30" s="201" t="s">
        <v>36</v>
      </c>
      <c r="P30" s="451">
        <v>0</v>
      </c>
      <c r="Q30" s="73">
        <v>0.15</v>
      </c>
      <c r="R30" s="74">
        <v>0</v>
      </c>
      <c r="S30" s="109" t="s">
        <v>102</v>
      </c>
      <c r="T30" s="57"/>
      <c r="U30" s="57"/>
      <c r="V30" s="56"/>
      <c r="W30" s="57"/>
      <c r="X30" s="57"/>
      <c r="Y30" s="69"/>
    </row>
    <row r="31" spans="1:25" s="52" customFormat="1" ht="16.5" thickBot="1" x14ac:dyDescent="0.25">
      <c r="A31" s="39"/>
      <c r="B31" s="224" t="s">
        <v>103</v>
      </c>
      <c r="C31" s="225"/>
      <c r="D31" s="226"/>
      <c r="E31" s="226"/>
      <c r="F31" s="226"/>
      <c r="G31" s="42"/>
      <c r="H31" s="43">
        <f>G31/$G$50</f>
        <v>0</v>
      </c>
      <c r="I31" s="70"/>
      <c r="J31" s="44"/>
      <c r="K31" s="44"/>
      <c r="L31" s="102"/>
      <c r="M31" s="103"/>
      <c r="N31" s="323"/>
      <c r="O31" s="104"/>
      <c r="P31" s="334">
        <v>0</v>
      </c>
      <c r="Q31" s="445"/>
      <c r="R31" s="446"/>
      <c r="S31" s="90"/>
      <c r="T31" s="51"/>
      <c r="U31" s="51"/>
      <c r="V31" s="51"/>
      <c r="W31" s="51"/>
      <c r="X31" s="51"/>
      <c r="Y31" s="51"/>
    </row>
    <row r="32" spans="1:25" s="1" customFormat="1" ht="16.5" thickBot="1" x14ac:dyDescent="0.3">
      <c r="A32" s="8"/>
      <c r="B32" s="236" t="s">
        <v>104</v>
      </c>
      <c r="C32" s="228"/>
      <c r="D32" s="237"/>
      <c r="E32" s="235"/>
      <c r="F32" s="235"/>
      <c r="G32" s="199"/>
      <c r="H32" s="124"/>
      <c r="I32" s="223"/>
      <c r="J32" s="124"/>
      <c r="K32" s="100"/>
      <c r="L32" s="222"/>
      <c r="M32" s="101"/>
      <c r="N32" s="115"/>
      <c r="O32" s="217"/>
      <c r="P32" s="330">
        <v>0</v>
      </c>
      <c r="Q32" s="107">
        <v>0.05</v>
      </c>
      <c r="R32" s="108">
        <v>0.01</v>
      </c>
      <c r="S32" s="450" t="s">
        <v>106</v>
      </c>
      <c r="T32" s="57"/>
      <c r="U32" s="57"/>
      <c r="V32" s="56"/>
      <c r="W32" s="57"/>
      <c r="X32" s="56"/>
      <c r="Y32" s="58"/>
    </row>
    <row r="33" spans="1:25" s="1" customFormat="1" ht="16.5" thickBot="1" x14ac:dyDescent="0.3">
      <c r="A33" s="8"/>
      <c r="B33" s="236" t="s">
        <v>105</v>
      </c>
      <c r="C33" s="228"/>
      <c r="D33" s="237"/>
      <c r="E33" s="235"/>
      <c r="F33" s="235"/>
      <c r="G33" s="199"/>
      <c r="H33" s="124"/>
      <c r="I33" s="223"/>
      <c r="J33" s="124"/>
      <c r="K33" s="100"/>
      <c r="L33" s="222"/>
      <c r="M33" s="101"/>
      <c r="N33" s="322"/>
      <c r="O33" s="217"/>
      <c r="P33" s="330">
        <v>0</v>
      </c>
      <c r="Q33" s="107">
        <v>0.05</v>
      </c>
      <c r="R33" s="108">
        <v>0</v>
      </c>
      <c r="S33" s="450" t="s">
        <v>107</v>
      </c>
      <c r="T33" s="57"/>
      <c r="U33" s="57"/>
      <c r="V33" s="56"/>
      <c r="W33" s="57"/>
      <c r="X33" s="56"/>
      <c r="Y33" s="58"/>
    </row>
    <row r="34" spans="1:25" s="52" customFormat="1" ht="16.5" thickBot="1" x14ac:dyDescent="0.25">
      <c r="A34" s="39"/>
      <c r="B34" s="224" t="s">
        <v>108</v>
      </c>
      <c r="C34" s="225"/>
      <c r="D34" s="226"/>
      <c r="E34" s="226"/>
      <c r="F34" s="226"/>
      <c r="G34" s="42"/>
      <c r="H34" s="43">
        <f>G34/$G$50</f>
        <v>0</v>
      </c>
      <c r="I34" s="70"/>
      <c r="J34" s="44"/>
      <c r="K34" s="44"/>
      <c r="L34" s="44"/>
      <c r="M34" s="87"/>
      <c r="N34" s="323"/>
      <c r="O34" s="41"/>
      <c r="P34" s="337">
        <f>SUM((G4+G9+G16+G17+G18+G22+G23+G27+G28+G29+G31+G32+G33)/G50)</f>
        <v>0.91254023193316058</v>
      </c>
      <c r="Q34" s="445"/>
      <c r="R34" s="446"/>
      <c r="S34" s="90"/>
      <c r="T34" s="51"/>
      <c r="U34" s="51"/>
      <c r="V34" s="51"/>
      <c r="W34" s="51"/>
      <c r="X34" s="51"/>
      <c r="Y34" s="51"/>
    </row>
    <row r="35" spans="1:25" s="1" customFormat="1" ht="16.5" thickBot="1" x14ac:dyDescent="0.3">
      <c r="A35" s="113"/>
      <c r="B35" s="224" t="s">
        <v>111</v>
      </c>
      <c r="C35" s="225"/>
      <c r="D35" s="226"/>
      <c r="E35" s="226"/>
      <c r="F35" s="226"/>
      <c r="G35" s="42"/>
      <c r="H35" s="115">
        <f>G35/$G$50</f>
        <v>0</v>
      </c>
      <c r="I35" s="70"/>
      <c r="J35" s="44"/>
      <c r="K35" s="44"/>
      <c r="L35" s="44"/>
      <c r="M35" s="87"/>
      <c r="N35" s="88"/>
      <c r="O35" s="41"/>
      <c r="P35" s="334">
        <v>0</v>
      </c>
      <c r="Q35" s="48"/>
      <c r="R35" s="446"/>
      <c r="S35" s="90"/>
      <c r="T35" s="57"/>
      <c r="U35" s="57"/>
      <c r="V35" s="56"/>
      <c r="W35" s="57"/>
      <c r="X35" s="57"/>
      <c r="Y35" s="112"/>
    </row>
    <row r="36" spans="1:25" s="52" customFormat="1" ht="16.5" thickBot="1" x14ac:dyDescent="0.25">
      <c r="A36" s="39"/>
      <c r="B36" s="224" t="s">
        <v>109</v>
      </c>
      <c r="C36" s="225"/>
      <c r="D36" s="226"/>
      <c r="E36" s="226"/>
      <c r="F36" s="226"/>
      <c r="G36" s="42">
        <f>SUM(G37:G39)</f>
        <v>14959345.02</v>
      </c>
      <c r="H36" s="43">
        <f>G36/$G$50</f>
        <v>5.9231342358722877E-2</v>
      </c>
      <c r="I36" s="70"/>
      <c r="J36" s="28"/>
      <c r="K36" s="44"/>
      <c r="L36" s="44"/>
      <c r="M36" s="87"/>
      <c r="N36" s="88"/>
      <c r="O36" s="104"/>
      <c r="P36" s="332"/>
      <c r="Q36" s="445"/>
      <c r="R36" s="445"/>
      <c r="S36" s="94"/>
      <c r="T36" s="51"/>
      <c r="U36" s="51"/>
      <c r="V36" s="51"/>
      <c r="W36" s="51"/>
      <c r="X36" s="51"/>
      <c r="Y36" s="51"/>
    </row>
    <row r="37" spans="1:25" s="1" customFormat="1" ht="18" x14ac:dyDescent="0.25">
      <c r="A37" s="8">
        <v>36</v>
      </c>
      <c r="B37" s="53" t="s">
        <v>134</v>
      </c>
      <c r="C37" s="118"/>
      <c r="D37" s="60" t="s">
        <v>49</v>
      </c>
      <c r="E37" s="85" t="s">
        <v>50</v>
      </c>
      <c r="F37" s="85" t="s">
        <v>51</v>
      </c>
      <c r="G37" s="377">
        <v>7012365.2599999998</v>
      </c>
      <c r="H37" s="61">
        <f t="shared" ref="H37:H39" si="5">G37/$G$50</f>
        <v>2.7765373878613487E-2</v>
      </c>
      <c r="I37" s="378">
        <v>-7.8100000000000003E-2</v>
      </c>
      <c r="J37" s="111"/>
      <c r="K37" s="263"/>
      <c r="L37" s="262" t="s">
        <v>135</v>
      </c>
      <c r="M37" s="379">
        <v>598533700.20000005</v>
      </c>
      <c r="N37" s="318">
        <f t="shared" ref="N37:N39" si="6">G37/M37</f>
        <v>1.1715907153860873E-2</v>
      </c>
      <c r="O37" s="536" t="s">
        <v>47</v>
      </c>
      <c r="P37" s="507">
        <f>SUM(G37:G39)/G50</f>
        <v>5.9231342358722877E-2</v>
      </c>
      <c r="Q37" s="530">
        <v>0.2</v>
      </c>
      <c r="R37" s="542">
        <v>0.15</v>
      </c>
      <c r="S37" s="533" t="s">
        <v>145</v>
      </c>
      <c r="T37" s="57"/>
      <c r="U37" s="57"/>
      <c r="V37" s="56"/>
      <c r="W37" s="57"/>
      <c r="X37" s="57"/>
      <c r="Y37" s="112"/>
    </row>
    <row r="38" spans="1:25" s="1" customFormat="1" ht="18" x14ac:dyDescent="0.25">
      <c r="A38" s="8"/>
      <c r="B38" s="53" t="s">
        <v>134</v>
      </c>
      <c r="C38" s="118"/>
      <c r="D38" s="60" t="s">
        <v>175</v>
      </c>
      <c r="E38" s="85" t="s">
        <v>26</v>
      </c>
      <c r="F38" s="85" t="s">
        <v>32</v>
      </c>
      <c r="G38" s="377">
        <v>3797500.36</v>
      </c>
      <c r="H38" s="61">
        <f t="shared" si="5"/>
        <v>1.5036155903203667E-2</v>
      </c>
      <c r="I38" s="378">
        <v>-8.6199999999999999E-2</v>
      </c>
      <c r="J38" s="111"/>
      <c r="K38" s="265"/>
      <c r="L38" s="262" t="s">
        <v>46</v>
      </c>
      <c r="M38" s="379">
        <v>396266741.01999998</v>
      </c>
      <c r="N38" s="264">
        <f t="shared" si="6"/>
        <v>9.5831922462761929E-3</v>
      </c>
      <c r="O38" s="537"/>
      <c r="P38" s="508"/>
      <c r="Q38" s="531"/>
      <c r="R38" s="543"/>
      <c r="S38" s="534"/>
      <c r="T38" s="57"/>
      <c r="U38" s="57"/>
      <c r="V38" s="56"/>
      <c r="W38" s="57"/>
      <c r="X38" s="57"/>
      <c r="Y38" s="112"/>
    </row>
    <row r="39" spans="1:25" s="1" customFormat="1" ht="18.75" thickBot="1" x14ac:dyDescent="0.3">
      <c r="A39" s="8"/>
      <c r="B39" s="266" t="s">
        <v>137</v>
      </c>
      <c r="C39" s="77"/>
      <c r="D39" s="67" t="s">
        <v>171</v>
      </c>
      <c r="E39" s="110">
        <v>0.54</v>
      </c>
      <c r="F39" s="99" t="s">
        <v>32</v>
      </c>
      <c r="G39" s="381">
        <v>4149479.4</v>
      </c>
      <c r="H39" s="121">
        <f t="shared" si="5"/>
        <v>1.6429812576905723E-2</v>
      </c>
      <c r="I39" s="380">
        <v>-0.1109</v>
      </c>
      <c r="J39" s="111"/>
      <c r="K39" s="216"/>
      <c r="L39" s="267" t="s">
        <v>138</v>
      </c>
      <c r="M39" s="382">
        <v>297491953.08999997</v>
      </c>
      <c r="N39" s="61">
        <f t="shared" si="6"/>
        <v>1.3948207193169563E-2</v>
      </c>
      <c r="O39" s="538"/>
      <c r="P39" s="509"/>
      <c r="Q39" s="532"/>
      <c r="R39" s="544"/>
      <c r="S39" s="535"/>
      <c r="T39" s="57"/>
      <c r="U39" s="57"/>
      <c r="V39" s="56"/>
      <c r="W39" s="57"/>
      <c r="X39" s="57"/>
      <c r="Y39" s="112"/>
    </row>
    <row r="40" spans="1:25" s="1" customFormat="1" ht="16.5" thickBot="1" x14ac:dyDescent="0.3">
      <c r="A40" s="8"/>
      <c r="B40" s="240" t="s">
        <v>112</v>
      </c>
      <c r="C40" s="228"/>
      <c r="D40" s="239"/>
      <c r="E40" s="230"/>
      <c r="F40" s="232"/>
      <c r="G40" s="238"/>
      <c r="H40" s="124"/>
      <c r="I40" s="83"/>
      <c r="J40" s="273"/>
      <c r="K40" s="206"/>
      <c r="L40" s="274"/>
      <c r="M40" s="204"/>
      <c r="N40" s="43"/>
      <c r="O40" s="275" t="s">
        <v>47</v>
      </c>
      <c r="P40" s="336">
        <v>0</v>
      </c>
      <c r="Q40" s="73">
        <v>0.2</v>
      </c>
      <c r="R40" s="74">
        <v>0</v>
      </c>
      <c r="S40" s="276" t="s">
        <v>110</v>
      </c>
      <c r="T40" s="57"/>
      <c r="U40" s="57"/>
      <c r="V40" s="56"/>
      <c r="W40" s="57"/>
      <c r="X40" s="57"/>
      <c r="Y40" s="112"/>
    </row>
    <row r="41" spans="1:25" s="52" customFormat="1" ht="16.5" thickBot="1" x14ac:dyDescent="0.25">
      <c r="A41" s="39"/>
      <c r="B41" s="240" t="s">
        <v>113</v>
      </c>
      <c r="C41" s="225"/>
      <c r="D41" s="226"/>
      <c r="E41" s="226"/>
      <c r="F41" s="226"/>
      <c r="G41" s="42">
        <f>SUM(G42:G43)</f>
        <v>6787309.3900000006</v>
      </c>
      <c r="H41" s="43">
        <f>G41/$G$50</f>
        <v>2.6874267933267078E-2</v>
      </c>
      <c r="I41" s="278"/>
      <c r="J41" s="44"/>
      <c r="K41" s="44"/>
      <c r="L41" s="44"/>
      <c r="M41" s="87"/>
      <c r="N41" s="254"/>
      <c r="O41" s="104"/>
      <c r="P41" s="334"/>
      <c r="Q41" s="445"/>
      <c r="R41" s="446"/>
      <c r="S41" s="116"/>
      <c r="T41" s="51"/>
      <c r="U41" s="51"/>
      <c r="V41" s="51"/>
      <c r="W41" s="51"/>
      <c r="X41" s="51"/>
      <c r="Y41" s="51"/>
    </row>
    <row r="42" spans="1:25" s="1" customFormat="1" ht="18.75" thickBot="1" x14ac:dyDescent="0.3">
      <c r="A42" s="8"/>
      <c r="B42" s="268" t="s">
        <v>139</v>
      </c>
      <c r="C42" s="66" t="s">
        <v>48</v>
      </c>
      <c r="D42" s="122" t="s">
        <v>53</v>
      </c>
      <c r="E42" s="79" t="s">
        <v>25</v>
      </c>
      <c r="F42" s="79" t="s">
        <v>26</v>
      </c>
      <c r="G42" s="385">
        <v>3447182.29</v>
      </c>
      <c r="H42" s="64">
        <f t="shared" ref="H42:H45" si="7">G42/$G$50</f>
        <v>1.3649075819759141E-2</v>
      </c>
      <c r="I42" s="386">
        <v>3.39E-2</v>
      </c>
      <c r="J42" s="277"/>
      <c r="K42" s="269"/>
      <c r="L42" s="123" t="s">
        <v>43</v>
      </c>
      <c r="M42" s="387">
        <v>1065111919.7</v>
      </c>
      <c r="N42" s="61">
        <f t="shared" ref="N42:N43" si="8">G42/M42</f>
        <v>3.2364507675127089E-3</v>
      </c>
      <c r="O42" s="525" t="s">
        <v>150</v>
      </c>
      <c r="P42" s="507">
        <f>SUM(G42:G43)/G50</f>
        <v>2.6874267933267078E-2</v>
      </c>
      <c r="Q42" s="510">
        <v>0.1</v>
      </c>
      <c r="R42" s="510">
        <v>0.03</v>
      </c>
      <c r="S42" s="519"/>
      <c r="T42" s="57"/>
      <c r="U42" s="57"/>
      <c r="V42" s="56"/>
      <c r="W42" s="57"/>
      <c r="X42" s="57"/>
      <c r="Y42" s="69"/>
    </row>
    <row r="43" spans="1:25" s="1" customFormat="1" ht="18.75" thickBot="1" x14ac:dyDescent="0.3">
      <c r="A43" s="8"/>
      <c r="B43" s="279" t="s">
        <v>130</v>
      </c>
      <c r="C43" s="118"/>
      <c r="D43" s="67" t="s">
        <v>55</v>
      </c>
      <c r="E43" s="85" t="s">
        <v>56</v>
      </c>
      <c r="F43" s="85" t="s">
        <v>56</v>
      </c>
      <c r="G43" s="417">
        <v>3340127.1</v>
      </c>
      <c r="H43" s="68">
        <f t="shared" si="7"/>
        <v>1.3225192113507936E-2</v>
      </c>
      <c r="I43" s="380">
        <v>4.5199999999999997E-2</v>
      </c>
      <c r="J43" s="105"/>
      <c r="K43" s="270"/>
      <c r="L43" s="262" t="s">
        <v>46</v>
      </c>
      <c r="M43" s="413">
        <v>36173579.079999998</v>
      </c>
      <c r="N43" s="376">
        <f t="shared" si="8"/>
        <v>9.2336096812900725E-2</v>
      </c>
      <c r="O43" s="526"/>
      <c r="P43" s="509"/>
      <c r="Q43" s="512"/>
      <c r="R43" s="512"/>
      <c r="S43" s="520"/>
      <c r="T43" s="57"/>
      <c r="U43" s="57"/>
      <c r="V43" s="56"/>
      <c r="W43" s="57"/>
      <c r="X43" s="57"/>
      <c r="Y43" s="69"/>
    </row>
    <row r="44" spans="1:25" s="1" customFormat="1" ht="16.5" thickBot="1" x14ac:dyDescent="0.3">
      <c r="A44" s="8"/>
      <c r="B44" s="240" t="s">
        <v>114</v>
      </c>
      <c r="C44" s="225"/>
      <c r="D44" s="226"/>
      <c r="E44" s="226"/>
      <c r="F44" s="226"/>
      <c r="G44" s="42">
        <f>SUM(G45)</f>
        <v>337239.7</v>
      </c>
      <c r="H44" s="43">
        <f>G44/$G$50</f>
        <v>1.3352964385103137E-3</v>
      </c>
      <c r="I44" s="70"/>
      <c r="J44" s="71"/>
      <c r="K44" s="71"/>
      <c r="L44" s="44"/>
      <c r="M44" s="72"/>
      <c r="N44" s="88"/>
      <c r="O44" s="319"/>
      <c r="P44" s="335"/>
      <c r="Q44" s="324"/>
      <c r="R44" s="320"/>
      <c r="S44" s="11"/>
      <c r="T44" s="57"/>
      <c r="U44" s="57"/>
      <c r="V44" s="56"/>
      <c r="W44" s="57"/>
      <c r="X44" s="57"/>
      <c r="Y44" s="69"/>
    </row>
    <row r="45" spans="1:25" s="1" customFormat="1" ht="16.5" thickBot="1" x14ac:dyDescent="0.3">
      <c r="A45" s="8"/>
      <c r="B45" s="453" t="s">
        <v>186</v>
      </c>
      <c r="C45" s="125"/>
      <c r="D45" s="454" t="s">
        <v>184</v>
      </c>
      <c r="E45" s="390" t="s">
        <v>185</v>
      </c>
      <c r="F45" s="390" t="s">
        <v>185</v>
      </c>
      <c r="G45" s="455">
        <v>337239.7</v>
      </c>
      <c r="H45" s="68">
        <f t="shared" si="7"/>
        <v>1.3352964385103137E-3</v>
      </c>
      <c r="I45" s="456">
        <v>-6.3200000000000006E-2</v>
      </c>
      <c r="J45" s="457"/>
      <c r="K45" s="458"/>
      <c r="L45" s="125" t="s">
        <v>45</v>
      </c>
      <c r="M45" s="459">
        <v>8964955.2200000007</v>
      </c>
      <c r="N45" s="460">
        <f>G45/M45</f>
        <v>3.7617555439390132E-2</v>
      </c>
      <c r="O45" s="319" t="s">
        <v>151</v>
      </c>
      <c r="P45" s="335">
        <v>0.02</v>
      </c>
      <c r="Q45" s="324">
        <v>0.05</v>
      </c>
      <c r="R45" s="320">
        <v>0.03</v>
      </c>
      <c r="S45" s="11" t="s">
        <v>152</v>
      </c>
      <c r="T45" s="57"/>
      <c r="U45" s="57"/>
      <c r="V45" s="56"/>
      <c r="W45" s="57"/>
      <c r="X45" s="57"/>
      <c r="Y45" s="69"/>
    </row>
    <row r="46" spans="1:25" s="52" customFormat="1" ht="16.5" thickBot="1" x14ac:dyDescent="0.25">
      <c r="A46" s="39"/>
      <c r="B46" s="240" t="s">
        <v>115</v>
      </c>
      <c r="C46" s="225"/>
      <c r="D46" s="226"/>
      <c r="E46" s="226"/>
      <c r="F46" s="226"/>
      <c r="G46" s="42"/>
      <c r="H46" s="43">
        <f>G46/$G$50</f>
        <v>0</v>
      </c>
      <c r="I46" s="70"/>
      <c r="J46" s="44"/>
      <c r="K46" s="44"/>
      <c r="L46" s="44"/>
      <c r="M46" s="87"/>
      <c r="N46" s="254"/>
      <c r="O46" s="321" t="s">
        <v>153</v>
      </c>
      <c r="P46" s="335">
        <v>0</v>
      </c>
      <c r="Q46" s="320">
        <v>0.05</v>
      </c>
      <c r="R46" s="320">
        <v>0.03</v>
      </c>
      <c r="S46" s="11" t="s">
        <v>154</v>
      </c>
      <c r="T46" s="51"/>
      <c r="U46" s="51"/>
      <c r="V46" s="51"/>
      <c r="W46" s="51"/>
      <c r="X46" s="51"/>
      <c r="Y46" s="51"/>
    </row>
    <row r="47" spans="1:25" s="1" customFormat="1" ht="12" customHeight="1" thickBot="1" x14ac:dyDescent="0.3">
      <c r="A47" s="113"/>
      <c r="B47" s="114" t="s">
        <v>57</v>
      </c>
      <c r="C47" s="40"/>
      <c r="D47" s="41"/>
      <c r="E47" s="126"/>
      <c r="F47" s="126"/>
      <c r="G47" s="127">
        <f>SUM(G48:G49)</f>
        <v>4763.58</v>
      </c>
      <c r="H47" s="128">
        <f>G47/$G$50</f>
        <v>1.8861336338986658E-5</v>
      </c>
      <c r="I47" s="129"/>
      <c r="J47" s="130"/>
      <c r="K47" s="130"/>
      <c r="L47" s="130"/>
      <c r="M47" s="131"/>
      <c r="N47" s="88"/>
      <c r="O47" s="132"/>
      <c r="P47" s="339">
        <f>SUM((G34+G35+G36+G41+G46)/G50)</f>
        <v>8.6105610291989959E-2</v>
      </c>
      <c r="Q47" s="133"/>
      <c r="R47" s="134">
        <f>SUM(P34+P47+P48+P49)/100</f>
        <v>9.9866470356148943E-3</v>
      </c>
      <c r="S47" s="50"/>
      <c r="T47" s="125"/>
      <c r="U47" s="125"/>
      <c r="V47" s="125"/>
      <c r="W47" s="125"/>
      <c r="X47" s="125"/>
    </row>
    <row r="48" spans="1:25" s="1" customFormat="1" ht="15.75" thickBot="1" x14ac:dyDescent="0.3">
      <c r="A48" s="113">
        <v>46</v>
      </c>
      <c r="B48" s="284" t="s">
        <v>143</v>
      </c>
      <c r="C48" s="285"/>
      <c r="D48" s="286"/>
      <c r="E48" s="287"/>
      <c r="F48" s="287"/>
      <c r="G48" s="288">
        <v>0</v>
      </c>
      <c r="H48" s="83"/>
      <c r="I48" s="96">
        <v>0</v>
      </c>
      <c r="J48" s="136"/>
      <c r="K48" s="137"/>
      <c r="L48" s="138"/>
      <c r="M48" s="139"/>
      <c r="N48" s="140"/>
      <c r="O48" s="521" t="s">
        <v>58</v>
      </c>
      <c r="P48" s="523">
        <f>SUM(G48:G49)/G50</f>
        <v>1.8861336338986658E-5</v>
      </c>
      <c r="Q48" s="141"/>
      <c r="R48" s="142"/>
      <c r="S48" s="135"/>
      <c r="T48" s="125"/>
      <c r="U48" s="125"/>
      <c r="V48" s="125"/>
      <c r="W48" s="125"/>
      <c r="X48" s="125"/>
    </row>
    <row r="49" spans="1:25" s="125" customFormat="1" ht="15.75" thickBot="1" x14ac:dyDescent="0.3">
      <c r="A49" s="8">
        <v>47</v>
      </c>
      <c r="B49" s="284" t="s">
        <v>181</v>
      </c>
      <c r="C49" s="285"/>
      <c r="D49" s="286"/>
      <c r="E49" s="287"/>
      <c r="F49" s="287"/>
      <c r="G49" s="428">
        <v>4763.58</v>
      </c>
      <c r="H49" s="83"/>
      <c r="I49" s="62">
        <v>0</v>
      </c>
      <c r="J49" s="144"/>
      <c r="K49" s="145"/>
      <c r="L49" s="146"/>
      <c r="M49" s="147"/>
      <c r="N49" s="148"/>
      <c r="O49" s="522"/>
      <c r="P49" s="524"/>
      <c r="Q49" s="149"/>
      <c r="R49" s="150"/>
      <c r="S49" s="143"/>
      <c r="T49" s="151"/>
      <c r="V49" s="152"/>
      <c r="Y49" s="1"/>
    </row>
    <row r="50" spans="1:25" s="125" customFormat="1" ht="16.5" thickBot="1" x14ac:dyDescent="0.3">
      <c r="A50" s="8"/>
      <c r="B50" s="153" t="s">
        <v>59</v>
      </c>
      <c r="C50" s="154"/>
      <c r="D50" s="155"/>
      <c r="E50" s="156"/>
      <c r="F50" s="156"/>
      <c r="G50" s="157">
        <f>G4+G9+G16+G17+G18+G22+G23+G27+G28+G29+G30+G31+G32+G33+G34+G35+G36+G40+G41+G44+G46+G47</f>
        <v>252557926.67000005</v>
      </c>
      <c r="H50" s="158">
        <f>G50/$G$50</f>
        <v>1</v>
      </c>
      <c r="I50" s="159"/>
      <c r="J50" s="160"/>
      <c r="K50" s="161"/>
      <c r="L50" s="162"/>
      <c r="M50" s="163"/>
      <c r="N50" s="164"/>
      <c r="O50" s="165"/>
      <c r="P50" s="334">
        <f>SUM(P5+P10+P16+P17+P18+P22+P24+P27+P28+P29+P30+P31+P32+P33+P35+P37+P40+P42+P44+P46+P48)</f>
        <v>0.68635019714307177</v>
      </c>
      <c r="Q50" s="166"/>
      <c r="R50" s="338">
        <f>P34+P47</f>
        <v>0.99864584222515052</v>
      </c>
      <c r="S50" s="167"/>
      <c r="T50" s="151"/>
      <c r="V50" s="152"/>
      <c r="Y50" s="1"/>
    </row>
    <row r="51" spans="1:25" s="125" customFormat="1" x14ac:dyDescent="0.25">
      <c r="A51" s="1"/>
      <c r="B51" s="168" t="str">
        <f>'[3]FFIN2 Maio 2018'!$B$71</f>
        <v>Meta Atuarial(INPC 0,43 + 0,486755)</v>
      </c>
      <c r="C51" s="168"/>
      <c r="D51" s="169"/>
      <c r="E51" s="169">
        <f>'[3]FFIN2 Maio 2018'!$E$73</f>
        <v>4.3E-3</v>
      </c>
      <c r="F51" s="169"/>
      <c r="G51" s="168" t="s">
        <v>60</v>
      </c>
      <c r="H51" s="170">
        <f>'[3]FFIN2 Maio 2018'!$H$74</f>
        <v>-0.11310000000000001</v>
      </c>
      <c r="I51" s="171"/>
      <c r="J51" s="168" t="s">
        <v>61</v>
      </c>
      <c r="K51" s="170">
        <f>'[3]FFIN2 Maio 2018'!$K$71</f>
        <v>-5.2699999999999997E-2</v>
      </c>
      <c r="L51" s="171"/>
      <c r="M51" s="172" t="s">
        <v>62</v>
      </c>
      <c r="N51" s="170">
        <f>'[3]FFIN2 Maio 2018'!$N$71</f>
        <v>-1.8533000000000001E-2</v>
      </c>
      <c r="O51" s="1"/>
      <c r="P51" s="170" t="s">
        <v>167</v>
      </c>
      <c r="Q51" s="1"/>
      <c r="R51" s="170"/>
      <c r="S51" s="173">
        <v>2.3400000000000001E-2</v>
      </c>
      <c r="Y51" s="1"/>
    </row>
    <row r="52" spans="1:25" s="125" customFormat="1" x14ac:dyDescent="0.25">
      <c r="A52" s="1"/>
      <c r="B52" s="168" t="s">
        <v>169</v>
      </c>
      <c r="C52" s="174"/>
      <c r="D52" s="168"/>
      <c r="E52" s="463">
        <v>-2.2499999999999999E-2</v>
      </c>
      <c r="F52" s="170"/>
      <c r="G52" s="168" t="s">
        <v>63</v>
      </c>
      <c r="H52" s="170">
        <f>'[3]FFIN2 Maio 2018'!$H$75</f>
        <v>-0.1053</v>
      </c>
      <c r="I52" s="168"/>
      <c r="J52" s="168" t="s">
        <v>64</v>
      </c>
      <c r="K52" s="170">
        <f>'[3]FFIN2 Maio 2018'!$K$72</f>
        <v>-3.1569E-2</v>
      </c>
      <c r="L52" s="170"/>
      <c r="M52" s="172" t="s">
        <v>65</v>
      </c>
      <c r="N52" s="170">
        <f>'[3]FFIN2 Maio 2018'!$N$72</f>
        <v>1.9810000000000001E-3</v>
      </c>
      <c r="O52" s="1"/>
      <c r="P52" s="178" t="s">
        <v>66</v>
      </c>
      <c r="Q52" s="1"/>
      <c r="R52" s="1"/>
      <c r="S52" s="173">
        <v>3.56E-2</v>
      </c>
      <c r="Y52" s="1"/>
    </row>
    <row r="53" spans="1:25" s="125" customFormat="1" x14ac:dyDescent="0.25">
      <c r="A53" s="1"/>
      <c r="B53" s="168" t="s">
        <v>67</v>
      </c>
      <c r="C53" s="1"/>
      <c r="D53" s="170"/>
      <c r="E53" s="170">
        <f>'[3]FFIN2 Maio 2018'!$E$73</f>
        <v>4.3E-3</v>
      </c>
      <c r="F53" s="170"/>
      <c r="G53" s="168" t="s">
        <v>68</v>
      </c>
      <c r="H53" s="170">
        <f>'[3]FFIN2 Maio 2018'!$H$73</f>
        <v>-0.10879999999999999</v>
      </c>
      <c r="I53" s="168"/>
      <c r="J53" s="168" t="s">
        <v>69</v>
      </c>
      <c r="K53" s="170">
        <f>'[3]FFIN2 Maio 2018'!$K$73</f>
        <v>-1.4263E-2</v>
      </c>
      <c r="L53" s="170"/>
      <c r="M53" s="172" t="s">
        <v>70</v>
      </c>
      <c r="N53" s="170">
        <f>'[3]FFIN2 Maio 2018'!$N$73</f>
        <v>-2.623E-2</v>
      </c>
      <c r="O53" s="170"/>
      <c r="P53" s="178" t="s">
        <v>168</v>
      </c>
      <c r="Q53" s="1"/>
      <c r="R53" s="1"/>
      <c r="S53" s="173">
        <v>0.1042</v>
      </c>
      <c r="T53" s="177"/>
      <c r="Y53" s="1"/>
    </row>
    <row r="54" spans="1:25" s="125" customFormat="1" x14ac:dyDescent="0.25">
      <c r="A54" s="1"/>
      <c r="B54" s="168" t="s">
        <v>54</v>
      </c>
      <c r="C54" s="170"/>
      <c r="D54" s="170"/>
      <c r="E54" s="178">
        <f>'[3]FFIN2 Maio 2018'!$E$74</f>
        <v>5.1999999999999998E-3</v>
      </c>
      <c r="F54" s="178"/>
      <c r="G54" s="168" t="s">
        <v>71</v>
      </c>
      <c r="H54" s="170">
        <f>'[3]FFIN2 Maio 2018'!$H$74</f>
        <v>-0.11310000000000001</v>
      </c>
      <c r="I54" s="168"/>
      <c r="J54" s="168" t="s">
        <v>72</v>
      </c>
      <c r="K54" s="170">
        <f>'[3]FFIN2 Maio 2018'!$K$74</f>
        <v>-1.5573E-2</v>
      </c>
      <c r="L54" s="170"/>
      <c r="M54" s="172" t="s">
        <v>73</v>
      </c>
      <c r="N54" s="170">
        <f>'[3]FFIN2 Maio 2018'!$N$74</f>
        <v>-4.6569999999999997E-3</v>
      </c>
      <c r="O54" s="170"/>
      <c r="P54" s="178" t="s">
        <v>74</v>
      </c>
      <c r="Q54" s="1"/>
      <c r="R54" s="1"/>
      <c r="S54" s="173">
        <v>7.8299999999999995E-2</v>
      </c>
      <c r="Y54" s="1"/>
    </row>
    <row r="55" spans="1:25" s="125" customFormat="1" x14ac:dyDescent="0.25">
      <c r="A55" s="1"/>
      <c r="B55" s="168" t="s">
        <v>45</v>
      </c>
      <c r="C55" s="1"/>
      <c r="D55" s="170"/>
      <c r="E55" s="178">
        <f>'[3]FFIN2 Maio 2018'!$E$75</f>
        <v>4.0000000000000001E-3</v>
      </c>
      <c r="F55" s="178"/>
      <c r="G55" s="168" t="s">
        <v>52</v>
      </c>
      <c r="H55" s="170">
        <f>'[3]FFIN2 Maio 2018'!$H$75</f>
        <v>-0.1053</v>
      </c>
      <c r="I55" s="1"/>
      <c r="J55" s="168" t="s">
        <v>75</v>
      </c>
      <c r="K55" s="170">
        <f>'[3]FFIN2 Maio 2018'!$K$75</f>
        <v>-4.6530000000000002E-2</v>
      </c>
      <c r="L55" s="1"/>
      <c r="M55" s="172" t="s">
        <v>76</v>
      </c>
      <c r="N55" s="170">
        <f>'[3]FFIN2 Maio 2018'!$N$75</f>
        <v>5.0229999999999997E-3</v>
      </c>
      <c r="O55" s="170"/>
      <c r="P55" s="178"/>
      <c r="Q55" s="1"/>
      <c r="R55" s="1"/>
      <c r="S55" s="179">
        <f>G50</f>
        <v>252557926.67000005</v>
      </c>
      <c r="T55" s="180"/>
      <c r="Y55" s="1"/>
    </row>
    <row r="56" spans="1:25" s="125" customFormat="1" x14ac:dyDescent="0.25">
      <c r="A56" s="1"/>
      <c r="B56" s="1"/>
      <c r="C56" s="1"/>
      <c r="D56" s="1"/>
      <c r="E56" s="1"/>
      <c r="F56" s="1"/>
      <c r="G56" s="168"/>
      <c r="H56" s="170" t="s">
        <v>77</v>
      </c>
      <c r="I56" s="1"/>
      <c r="J56" s="168"/>
      <c r="K56" s="170"/>
      <c r="L56" s="1"/>
      <c r="M56" s="172"/>
      <c r="N56" s="181"/>
      <c r="O56" s="170"/>
      <c r="P56" s="181"/>
      <c r="Q56" s="1"/>
      <c r="R56" s="1"/>
      <c r="S56" s="182">
        <f>'[3]FFIN2 Maio 2018'!$G$70</f>
        <v>766671103.22000003</v>
      </c>
      <c r="Y56" s="1"/>
    </row>
    <row r="57" spans="1:25" s="1" customFormat="1" x14ac:dyDescent="0.25">
      <c r="D57" t="s">
        <v>78</v>
      </c>
      <c r="G57" s="183">
        <f>'[4]Consolidado Maio 2018'!$G$100</f>
        <v>1019229029.8900001</v>
      </c>
      <c r="H57" s="170"/>
      <c r="J57" s="168"/>
      <c r="K57" s="170"/>
      <c r="M57" s="184"/>
      <c r="N57" s="181"/>
      <c r="O57" s="170"/>
      <c r="P57" s="181"/>
      <c r="S57" s="185">
        <f>S55+S56</f>
        <v>1019229029.8900001</v>
      </c>
      <c r="T57" s="125"/>
      <c r="U57" s="125"/>
      <c r="V57" s="125"/>
      <c r="W57" s="125"/>
      <c r="X57" s="125"/>
    </row>
    <row r="58" spans="1:25" s="7" customFormat="1" x14ac:dyDescent="0.25">
      <c r="A58"/>
      <c r="B58"/>
      <c r="C58"/>
      <c r="D58"/>
      <c r="E58"/>
      <c r="F58"/>
      <c r="G58" s="186"/>
      <c r="H58" s="170"/>
      <c r="I58" s="1"/>
      <c r="J58" s="168"/>
      <c r="K58" s="170"/>
      <c r="L58" s="1"/>
      <c r="M58" s="184"/>
      <c r="N58" s="190"/>
      <c r="O58"/>
      <c r="P58" s="190"/>
      <c r="Q58"/>
      <c r="R58"/>
      <c r="S58" s="185"/>
      <c r="Y58"/>
    </row>
    <row r="59" spans="1:25" s="7" customFormat="1" x14ac:dyDescent="0.25">
      <c r="A59"/>
      <c r="B59" s="168"/>
      <c r="C59" s="168"/>
      <c r="D59" s="168"/>
      <c r="E59" s="169"/>
      <c r="F59" s="169"/>
      <c r="G59" s="186"/>
      <c r="H59" s="181"/>
      <c r="I59" s="1"/>
      <c r="J59" s="1"/>
      <c r="K59" s="1"/>
      <c r="L59" s="1"/>
      <c r="M59" s="184"/>
      <c r="N59" s="190"/>
      <c r="O59"/>
      <c r="P59" s="190"/>
      <c r="Q59"/>
      <c r="R59"/>
      <c r="S59"/>
      <c r="Y59"/>
    </row>
    <row r="60" spans="1:25" s="7" customFormat="1" x14ac:dyDescent="0.25">
      <c r="A60"/>
      <c r="B60" s="168"/>
      <c r="C60" s="168"/>
      <c r="D60" s="168"/>
      <c r="E60" s="170"/>
      <c r="F60" s="170"/>
      <c r="G60" s="191"/>
      <c r="H60" s="181"/>
      <c r="I60" s="1"/>
      <c r="J60" s="1"/>
      <c r="K60" s="1"/>
      <c r="L60" s="1"/>
      <c r="M60" s="184"/>
      <c r="N60" s="190"/>
      <c r="O60"/>
      <c r="P60" s="190"/>
      <c r="Q60"/>
      <c r="R60"/>
      <c r="S60"/>
      <c r="Y60"/>
    </row>
    <row r="61" spans="1:25" s="7" customFormat="1" x14ac:dyDescent="0.25">
      <c r="A61"/>
      <c r="B61" s="168"/>
      <c r="C61" s="1"/>
      <c r="D61" s="170"/>
      <c r="E61" s="170"/>
      <c r="F61" s="170"/>
      <c r="G61" s="186"/>
      <c r="H61" s="181"/>
      <c r="I61" s="1"/>
      <c r="J61" s="1"/>
      <c r="K61" s="1"/>
      <c r="L61" s="1"/>
      <c r="M61" s="184"/>
      <c r="N61" s="190"/>
      <c r="O61"/>
      <c r="P61" s="190"/>
      <c r="Q61"/>
      <c r="R61"/>
      <c r="S61"/>
      <c r="Y61"/>
    </row>
    <row r="62" spans="1:25" s="7" customFormat="1" x14ac:dyDescent="0.25">
      <c r="A62"/>
      <c r="B62" s="168"/>
      <c r="C62" s="170"/>
      <c r="D62" s="170"/>
      <c r="E62" s="176"/>
      <c r="F62" s="176"/>
      <c r="G62" s="186"/>
      <c r="H62" s="181"/>
      <c r="I62" s="1"/>
      <c r="J62" s="1"/>
      <c r="K62" s="1"/>
      <c r="L62" s="1"/>
      <c r="M62" s="184" t="s">
        <v>79</v>
      </c>
      <c r="N62" s="190"/>
      <c r="O62"/>
      <c r="P62" s="190"/>
      <c r="Q62"/>
      <c r="R62"/>
      <c r="S62"/>
      <c r="Y62"/>
    </row>
    <row r="63" spans="1:25" s="7" customFormat="1" x14ac:dyDescent="0.25">
      <c r="A63"/>
      <c r="B63" s="168" t="s">
        <v>36</v>
      </c>
      <c r="C63" s="1"/>
      <c r="D63" s="170" t="s">
        <v>80</v>
      </c>
      <c r="E63" s="464">
        <v>-1.95E-2</v>
      </c>
      <c r="F63" s="1"/>
      <c r="G63" s="186">
        <f>G4+G9+G18+G23+G31</f>
        <v>230469268.98000002</v>
      </c>
      <c r="H63" s="181">
        <f>G63/G66</f>
        <v>0.91376037290475232</v>
      </c>
      <c r="I63" s="1"/>
      <c r="J63" s="1" t="s">
        <v>36</v>
      </c>
      <c r="K63" s="1"/>
      <c r="L63" s="1"/>
      <c r="M63" s="426">
        <f>'[4]Consolidado fevereiro 2018'!$M$104</f>
        <v>838658112.35000002</v>
      </c>
      <c r="N63" s="190">
        <f>M63/M66</f>
        <v>0.81890513514275298</v>
      </c>
      <c r="O63"/>
      <c r="P63" s="190"/>
      <c r="Q63"/>
      <c r="R63"/>
      <c r="S63"/>
      <c r="Y63"/>
    </row>
    <row r="64" spans="1:25" s="7" customFormat="1" x14ac:dyDescent="0.25">
      <c r="A64"/>
      <c r="B64" t="s">
        <v>47</v>
      </c>
      <c r="C64"/>
      <c r="D64" s="170" t="s">
        <v>80</v>
      </c>
      <c r="E64" s="464">
        <v>-5.2999999999999999E-2</v>
      </c>
      <c r="F64">
        <v>3.71</v>
      </c>
      <c r="G64" s="186">
        <f>G34++G35+G36+G41+G46</f>
        <v>21746654.41</v>
      </c>
      <c r="H64" s="181">
        <f>G64/G66</f>
        <v>8.6220740539758423E-2</v>
      </c>
      <c r="I64" s="1"/>
      <c r="J64" s="1" t="s">
        <v>47</v>
      </c>
      <c r="K64" s="1"/>
      <c r="L64" s="1"/>
      <c r="M64" s="426">
        <f>'[4]Consolidado fevereiro 2018'!$M$105</f>
        <v>184803995.55999997</v>
      </c>
      <c r="N64" s="190">
        <f>M64/M66</f>
        <v>0.18045129323905537</v>
      </c>
      <c r="O64"/>
      <c r="P64" s="190"/>
      <c r="Q64"/>
      <c r="R64"/>
      <c r="S64"/>
      <c r="Y64"/>
    </row>
    <row r="65" spans="1:25" s="7" customFormat="1" x14ac:dyDescent="0.25">
      <c r="A65"/>
      <c r="B65" t="s">
        <v>81</v>
      </c>
      <c r="C65"/>
      <c r="D65"/>
      <c r="E65" s="465"/>
      <c r="F65"/>
      <c r="G65" s="186">
        <f>G47</f>
        <v>4763.58</v>
      </c>
      <c r="H65" s="181">
        <f>G65/G66</f>
        <v>1.8886555489267206E-5</v>
      </c>
      <c r="I65" s="1"/>
      <c r="J65" s="1" t="s">
        <v>82</v>
      </c>
      <c r="K65" s="1"/>
      <c r="L65" s="1"/>
      <c r="M65" s="426">
        <f>'[4]Consolidado fevereiro 2018'!$M$106</f>
        <v>659095.34000000008</v>
      </c>
      <c r="N65" s="190">
        <f>M65/M66</f>
        <v>6.4357161819166746E-4</v>
      </c>
      <c r="O65"/>
      <c r="P65" s="190"/>
      <c r="Q65"/>
      <c r="R65"/>
      <c r="S65"/>
      <c r="Y65"/>
    </row>
    <row r="66" spans="1:25" s="7" customFormat="1" x14ac:dyDescent="0.25">
      <c r="A66"/>
      <c r="B66"/>
      <c r="C66"/>
      <c r="D66"/>
      <c r="E66" s="464">
        <v>-2.2499999999999999E-2</v>
      </c>
      <c r="F66">
        <v>3.19</v>
      </c>
      <c r="G66" s="186">
        <f>G63+G64+G65</f>
        <v>252220686.97000003</v>
      </c>
      <c r="H66" s="181">
        <f>SUM(H63:H65)</f>
        <v>1</v>
      </c>
      <c r="I66" s="1"/>
      <c r="J66" s="125" t="s">
        <v>83</v>
      </c>
      <c r="K66" s="125"/>
      <c r="L66" s="125"/>
      <c r="M66" s="426">
        <f>M63+M64+M65</f>
        <v>1024121203.25</v>
      </c>
      <c r="N66" s="190">
        <f>N63+N64+N65</f>
        <v>1</v>
      </c>
      <c r="O66"/>
      <c r="P66" s="190"/>
      <c r="Q66"/>
      <c r="R66"/>
      <c r="S66"/>
      <c r="Y66"/>
    </row>
    <row r="67" spans="1:25" s="7" customFormat="1" x14ac:dyDescent="0.25">
      <c r="A67"/>
      <c r="B67"/>
      <c r="C67"/>
      <c r="D67"/>
      <c r="E67" s="195"/>
      <c r="F67"/>
      <c r="G67" s="1"/>
      <c r="H67" s="181"/>
      <c r="I67" s="1"/>
      <c r="J67" s="1"/>
      <c r="K67" s="1"/>
      <c r="L67" s="1"/>
      <c r="M67" s="184"/>
      <c r="N67" s="190"/>
      <c r="O67"/>
      <c r="P67" s="190"/>
      <c r="Q67"/>
      <c r="R67"/>
      <c r="S67"/>
      <c r="Y67"/>
    </row>
    <row r="68" spans="1:25" s="7" customFormat="1" x14ac:dyDescent="0.25">
      <c r="A68"/>
      <c r="B68"/>
      <c r="C68"/>
      <c r="D68"/>
      <c r="E68"/>
      <c r="F68"/>
      <c r="G68" s="1"/>
      <c r="H68" s="181"/>
      <c r="I68" s="1"/>
      <c r="J68" s="1"/>
      <c r="K68" s="1"/>
      <c r="L68" s="1"/>
      <c r="M68" s="184"/>
      <c r="N68" s="190"/>
      <c r="O68"/>
      <c r="P68" s="190"/>
      <c r="Q68"/>
      <c r="R68"/>
      <c r="S68"/>
      <c r="Y68"/>
    </row>
    <row r="69" spans="1:25" s="7" customFormat="1" x14ac:dyDescent="0.25">
      <c r="A69"/>
      <c r="B69"/>
      <c r="C69"/>
      <c r="D69"/>
      <c r="E69"/>
      <c r="F69"/>
      <c r="G69" s="1"/>
      <c r="H69" s="181"/>
      <c r="I69" s="1"/>
      <c r="J69" s="1"/>
      <c r="K69" s="1"/>
      <c r="L69" s="1"/>
      <c r="M69" s="184"/>
      <c r="N69" s="190"/>
      <c r="O69"/>
      <c r="P69" s="190"/>
      <c r="Q69"/>
      <c r="R69"/>
      <c r="S69"/>
      <c r="Y69"/>
    </row>
  </sheetData>
  <mergeCells count="33">
    <mergeCell ref="R42:R43"/>
    <mergeCell ref="S42:S43"/>
    <mergeCell ref="O48:O49"/>
    <mergeCell ref="P48:P49"/>
    <mergeCell ref="O24:O26"/>
    <mergeCell ref="P24:P26"/>
    <mergeCell ref="Q24:Q26"/>
    <mergeCell ref="O42:O43"/>
    <mergeCell ref="P42:P43"/>
    <mergeCell ref="Q42:Q43"/>
    <mergeCell ref="R24:R26"/>
    <mergeCell ref="S24:S26"/>
    <mergeCell ref="O37:O39"/>
    <mergeCell ref="P37:P39"/>
    <mergeCell ref="Q37:Q39"/>
    <mergeCell ref="R37:R39"/>
    <mergeCell ref="S37:S39"/>
    <mergeCell ref="O10:O15"/>
    <mergeCell ref="P10:P15"/>
    <mergeCell ref="Q10:Q15"/>
    <mergeCell ref="R10:R15"/>
    <mergeCell ref="S10:S15"/>
    <mergeCell ref="O19:O21"/>
    <mergeCell ref="P19:P21"/>
    <mergeCell ref="Q19:Q21"/>
    <mergeCell ref="R19:R21"/>
    <mergeCell ref="S19:S21"/>
    <mergeCell ref="S5:S8"/>
    <mergeCell ref="P3:R3"/>
    <mergeCell ref="O5:O8"/>
    <mergeCell ref="P5:P8"/>
    <mergeCell ref="Q5:Q8"/>
    <mergeCell ref="R5:R8"/>
  </mergeCells>
  <printOptions horizontalCentered="1"/>
  <pageMargins left="0" right="0" top="0" bottom="0" header="0.19685039370078741" footer="0.3937007874015748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opLeftCell="A54" zoomScaleNormal="100" workbookViewId="0">
      <selection activeCell="H65" activeCellId="3" sqref="B64 H64 B65 H65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2.85546875" style="1" bestFit="1" customWidth="1"/>
    <col min="8" max="8" width="11.5703125" style="18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5" style="184" bestFit="1" customWidth="1"/>
    <col min="14" max="14" width="8.140625" style="190" bestFit="1" customWidth="1"/>
    <col min="15" max="15" width="15.5703125" customWidth="1"/>
    <col min="16" max="16" width="8.42578125" style="190" customWidth="1"/>
    <col min="17" max="17" width="5.5703125" customWidth="1"/>
    <col min="18" max="18" width="6.140625" bestFit="1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188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4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326" t="s">
        <v>8</v>
      </c>
      <c r="Q2" s="20"/>
      <c r="R2" s="21"/>
      <c r="S2" s="22" t="s">
        <v>9</v>
      </c>
      <c r="T2" s="7" t="s">
        <v>10</v>
      </c>
    </row>
    <row r="3" spans="1:25" ht="15.75" thickBot="1" x14ac:dyDescent="0.3">
      <c r="A3" s="8"/>
      <c r="B3" s="23"/>
      <c r="C3" s="24"/>
      <c r="D3" s="25"/>
      <c r="E3" s="26"/>
      <c r="F3" s="27"/>
      <c r="G3" s="28" t="s">
        <v>11</v>
      </c>
      <c r="H3" s="29" t="s">
        <v>12</v>
      </c>
      <c r="I3" s="30" t="s">
        <v>13</v>
      </c>
      <c r="J3" s="31" t="s">
        <v>14</v>
      </c>
      <c r="K3" s="32" t="s">
        <v>15</v>
      </c>
      <c r="L3" s="33"/>
      <c r="M3" s="34" t="s">
        <v>16</v>
      </c>
      <c r="N3" s="35" t="s">
        <v>17</v>
      </c>
      <c r="O3" s="36"/>
      <c r="P3" s="548" t="s">
        <v>18</v>
      </c>
      <c r="Q3" s="549"/>
      <c r="R3" s="550"/>
      <c r="S3" s="37" t="s">
        <v>19</v>
      </c>
      <c r="T3" s="38"/>
      <c r="U3" s="38"/>
      <c r="V3" s="38"/>
      <c r="W3" s="38"/>
      <c r="X3" s="38"/>
      <c r="Y3" s="38"/>
    </row>
    <row r="4" spans="1:25" s="52" customFormat="1" ht="12" customHeight="1" thickBot="1" x14ac:dyDescent="0.25">
      <c r="A4" s="39"/>
      <c r="B4" s="224" t="s">
        <v>84</v>
      </c>
      <c r="C4" s="225"/>
      <c r="D4" s="226"/>
      <c r="E4" s="226"/>
      <c r="F4" s="226"/>
      <c r="G4" s="42">
        <f>SUM(G5:G8)</f>
        <v>40435538.489999995</v>
      </c>
      <c r="H4" s="43">
        <f t="shared" ref="H4:H13" si="0">G4/$G$51</f>
        <v>0.1569735787382886</v>
      </c>
      <c r="I4" s="44"/>
      <c r="J4" s="44"/>
      <c r="K4" s="44"/>
      <c r="L4" s="44"/>
      <c r="M4" s="45"/>
      <c r="N4" s="46"/>
      <c r="O4" s="47"/>
      <c r="P4" s="327"/>
      <c r="Q4" s="471"/>
      <c r="R4" s="472"/>
      <c r="S4" s="90"/>
      <c r="T4" s="51"/>
      <c r="U4" s="51"/>
      <c r="V4" s="51"/>
      <c r="W4" s="51"/>
      <c r="X4" s="51"/>
      <c r="Y4" s="51"/>
    </row>
    <row r="5" spans="1:25" s="1" customFormat="1" ht="18" x14ac:dyDescent="0.25">
      <c r="A5" s="8"/>
      <c r="B5" s="251" t="s">
        <v>121</v>
      </c>
      <c r="C5" s="54" t="s">
        <v>20</v>
      </c>
      <c r="D5" s="55" t="s">
        <v>116</v>
      </c>
      <c r="E5" s="55"/>
      <c r="F5" s="55"/>
      <c r="G5" s="383">
        <v>12851044.359999999</v>
      </c>
      <c r="H5" s="64">
        <f t="shared" si="0"/>
        <v>4.9888649911576821E-2</v>
      </c>
      <c r="I5" s="416">
        <v>8.2000000000000007E-3</v>
      </c>
      <c r="J5" s="247" t="s">
        <v>21</v>
      </c>
      <c r="K5" s="247"/>
      <c r="L5" s="252"/>
      <c r="M5" s="98"/>
      <c r="N5" s="253"/>
      <c r="O5" s="551" t="s">
        <v>147</v>
      </c>
      <c r="P5" s="557">
        <f>SUM(G5:G8)/G51</f>
        <v>0.1569735787382886</v>
      </c>
      <c r="Q5" s="510">
        <v>1</v>
      </c>
      <c r="R5" s="542">
        <v>0.4</v>
      </c>
      <c r="S5" s="545" t="s">
        <v>148</v>
      </c>
      <c r="T5" s="57"/>
      <c r="U5" s="57"/>
      <c r="V5" s="56"/>
      <c r="W5" s="57"/>
      <c r="X5" s="57"/>
      <c r="Y5" s="69"/>
    </row>
    <row r="6" spans="1:25" s="1" customFormat="1" ht="18.75" thickBot="1" x14ac:dyDescent="0.3">
      <c r="A6" s="8"/>
      <c r="B6" s="249" t="s">
        <v>121</v>
      </c>
      <c r="C6" s="59" t="s">
        <v>20</v>
      </c>
      <c r="D6" s="60" t="s">
        <v>117</v>
      </c>
      <c r="E6" s="65"/>
      <c r="F6" s="65"/>
      <c r="G6" s="427">
        <v>6383382.54</v>
      </c>
      <c r="H6" s="120">
        <f t="shared" si="0"/>
        <v>2.4780735936213986E-2</v>
      </c>
      <c r="I6" s="405">
        <v>3.5999999999999999E-3</v>
      </c>
      <c r="J6" s="241" t="s">
        <v>22</v>
      </c>
      <c r="K6" s="242"/>
      <c r="L6" s="243"/>
      <c r="M6" s="325">
        <v>-1.07E-3</v>
      </c>
      <c r="N6" s="63"/>
      <c r="O6" s="552"/>
      <c r="P6" s="558"/>
      <c r="Q6" s="511"/>
      <c r="R6" s="543"/>
      <c r="S6" s="546"/>
      <c r="T6" s="57"/>
      <c r="U6" s="57"/>
      <c r="V6" s="56"/>
      <c r="W6" s="57"/>
      <c r="X6" s="57"/>
      <c r="Y6" s="69"/>
    </row>
    <row r="7" spans="1:25" s="1" customFormat="1" ht="18.75" thickBot="1" x14ac:dyDescent="0.3">
      <c r="A7" s="8"/>
      <c r="B7" s="249" t="s">
        <v>121</v>
      </c>
      <c r="C7" s="59" t="s">
        <v>20</v>
      </c>
      <c r="D7" s="60" t="s">
        <v>118</v>
      </c>
      <c r="E7" s="65"/>
      <c r="F7" s="65"/>
      <c r="G7" s="411">
        <v>10991205.27</v>
      </c>
      <c r="H7" s="61">
        <f t="shared" si="0"/>
        <v>4.2668624935110581E-2</v>
      </c>
      <c r="I7" s="412">
        <v>-6.0000000000000001E-3</v>
      </c>
      <c r="J7" s="244" t="s">
        <v>119</v>
      </c>
      <c r="K7" s="242"/>
      <c r="L7" s="248"/>
      <c r="M7" s="98"/>
      <c r="N7" s="63"/>
      <c r="O7" s="552"/>
      <c r="P7" s="558"/>
      <c r="Q7" s="511"/>
      <c r="R7" s="543"/>
      <c r="S7" s="546"/>
      <c r="T7" s="57"/>
      <c r="U7" s="57"/>
      <c r="V7" s="56"/>
      <c r="W7" s="57"/>
      <c r="X7" s="57"/>
      <c r="Y7" s="69"/>
    </row>
    <row r="8" spans="1:25" s="1" customFormat="1" ht="18.75" thickBot="1" x14ac:dyDescent="0.3">
      <c r="A8" s="8"/>
      <c r="B8" s="250" t="s">
        <v>122</v>
      </c>
      <c r="C8" s="59" t="s">
        <v>20</v>
      </c>
      <c r="D8" s="67" t="s">
        <v>120</v>
      </c>
      <c r="E8" s="67"/>
      <c r="F8" s="67"/>
      <c r="G8" s="417">
        <v>10209906.32</v>
      </c>
      <c r="H8" s="121">
        <f t="shared" si="0"/>
        <v>3.9635567955387224E-2</v>
      </c>
      <c r="I8" s="380">
        <v>-8.0000000000000002E-3</v>
      </c>
      <c r="J8" s="245" t="s">
        <v>23</v>
      </c>
      <c r="K8" s="245"/>
      <c r="L8" s="246"/>
      <c r="M8" s="106"/>
      <c r="N8" s="63"/>
      <c r="O8" s="553"/>
      <c r="P8" s="559"/>
      <c r="Q8" s="512"/>
      <c r="R8" s="544"/>
      <c r="S8" s="547"/>
      <c r="T8" s="57"/>
      <c r="U8" s="57"/>
      <c r="V8" s="56"/>
      <c r="W8" s="57"/>
      <c r="X8" s="57"/>
      <c r="Y8" s="69"/>
    </row>
    <row r="9" spans="1:25" s="52" customFormat="1" ht="16.5" thickBot="1" x14ac:dyDescent="0.25">
      <c r="A9" s="39"/>
      <c r="B9" s="224" t="s">
        <v>85</v>
      </c>
      <c r="C9" s="225"/>
      <c r="D9" s="226"/>
      <c r="E9" s="226"/>
      <c r="F9" s="226"/>
      <c r="G9" s="42">
        <f>SUM(G10:G15)</f>
        <v>136089012.47999999</v>
      </c>
      <c r="H9" s="83">
        <f t="shared" si="0"/>
        <v>0.52830703172725868</v>
      </c>
      <c r="I9" s="70"/>
      <c r="J9" s="71"/>
      <c r="K9" s="44"/>
      <c r="L9" s="44"/>
      <c r="M9" s="87"/>
      <c r="N9" s="254"/>
      <c r="O9" s="47"/>
      <c r="P9" s="473"/>
      <c r="Q9" s="467"/>
      <c r="R9" s="468"/>
      <c r="S9" s="470"/>
      <c r="T9" s="51"/>
      <c r="U9" s="51"/>
      <c r="V9" s="51"/>
      <c r="W9" s="51"/>
      <c r="X9" s="51"/>
      <c r="Y9" s="51"/>
    </row>
    <row r="10" spans="1:25" s="52" customFormat="1" ht="18.75" thickBot="1" x14ac:dyDescent="0.3">
      <c r="A10" s="39"/>
      <c r="B10" s="388" t="s">
        <v>172</v>
      </c>
      <c r="C10" s="75" t="s">
        <v>24</v>
      </c>
      <c r="D10" s="389" t="s">
        <v>173</v>
      </c>
      <c r="E10" s="390" t="s">
        <v>25</v>
      </c>
      <c r="F10" s="390" t="s">
        <v>26</v>
      </c>
      <c r="G10" s="402">
        <v>19921629.359999999</v>
      </c>
      <c r="H10" s="396">
        <f t="shared" si="0"/>
        <v>7.7337153694894745E-2</v>
      </c>
      <c r="I10" s="392">
        <v>4.4000000000000003E-3</v>
      </c>
      <c r="J10" s="313"/>
      <c r="K10" s="438"/>
      <c r="L10" s="440" t="s">
        <v>27</v>
      </c>
      <c r="M10" s="443">
        <v>1137325220.3800001</v>
      </c>
      <c r="N10" s="395">
        <f t="shared" ref="N10:N12" si="1">G10/M10</f>
        <v>1.7516211724684903E-2</v>
      </c>
      <c r="O10" s="536" t="s">
        <v>28</v>
      </c>
      <c r="P10" s="507">
        <f>SUM(G12:G14)/G51</f>
        <v>0.39456643168852817</v>
      </c>
      <c r="Q10" s="542">
        <v>1</v>
      </c>
      <c r="R10" s="513">
        <v>0.5</v>
      </c>
      <c r="S10" s="533" t="s">
        <v>146</v>
      </c>
      <c r="T10" s="51"/>
      <c r="U10" s="51"/>
      <c r="V10" s="51"/>
      <c r="W10" s="51"/>
      <c r="X10" s="51"/>
      <c r="Y10" s="51"/>
    </row>
    <row r="11" spans="1:25" s="52" customFormat="1" ht="18" x14ac:dyDescent="0.25">
      <c r="A11" s="39"/>
      <c r="B11" s="76" t="s">
        <v>172</v>
      </c>
      <c r="C11" s="75" t="s">
        <v>177</v>
      </c>
      <c r="D11" s="65" t="s">
        <v>178</v>
      </c>
      <c r="E11" s="117" t="s">
        <v>25</v>
      </c>
      <c r="F11" s="82" t="s">
        <v>26</v>
      </c>
      <c r="G11" s="411">
        <v>9865946.0700000003</v>
      </c>
      <c r="H11" s="64">
        <f t="shared" si="0"/>
        <v>3.8300290291171886E-2</v>
      </c>
      <c r="I11" s="416">
        <v>-2.0000000000000001E-4</v>
      </c>
      <c r="J11" s="277"/>
      <c r="K11" s="439"/>
      <c r="L11" s="441" t="s">
        <v>27</v>
      </c>
      <c r="M11" s="442">
        <v>2084814916.3499999</v>
      </c>
      <c r="N11" s="401">
        <f t="shared" si="1"/>
        <v>4.7322886998874963E-3</v>
      </c>
      <c r="O11" s="537"/>
      <c r="P11" s="508"/>
      <c r="Q11" s="543"/>
      <c r="R11" s="514"/>
      <c r="S11" s="534"/>
      <c r="T11" s="51"/>
      <c r="U11" s="51"/>
      <c r="V11" s="51"/>
      <c r="W11" s="51"/>
      <c r="X11" s="51"/>
      <c r="Y11" s="51"/>
    </row>
    <row r="12" spans="1:25" s="1" customFormat="1" ht="15.75" customHeight="1" thickBot="1" x14ac:dyDescent="0.3">
      <c r="A12" s="8"/>
      <c r="B12" s="76" t="s">
        <v>123</v>
      </c>
      <c r="C12" s="77" t="s">
        <v>29</v>
      </c>
      <c r="D12" s="55" t="s">
        <v>30</v>
      </c>
      <c r="E12" s="78" t="s">
        <v>25</v>
      </c>
      <c r="F12" s="79" t="s">
        <v>26</v>
      </c>
      <c r="G12" s="383">
        <v>17701026.960000001</v>
      </c>
      <c r="H12" s="64">
        <f t="shared" si="0"/>
        <v>6.8716620404135231E-2</v>
      </c>
      <c r="I12" s="378">
        <v>1E-4</v>
      </c>
      <c r="J12" s="80"/>
      <c r="K12" s="255"/>
      <c r="L12" s="123" t="s">
        <v>31</v>
      </c>
      <c r="M12" s="408">
        <v>5450225090.3400002</v>
      </c>
      <c r="N12" s="400">
        <f t="shared" si="1"/>
        <v>3.2477607193459532E-3</v>
      </c>
      <c r="O12" s="537"/>
      <c r="P12" s="508"/>
      <c r="Q12" s="543"/>
      <c r="R12" s="514"/>
      <c r="S12" s="534"/>
      <c r="T12" s="57"/>
      <c r="U12" s="57"/>
      <c r="V12" s="56"/>
      <c r="W12" s="57"/>
      <c r="X12" s="57"/>
      <c r="Y12" s="69"/>
    </row>
    <row r="13" spans="1:25" s="1" customFormat="1" ht="18.75" thickBot="1" x14ac:dyDescent="0.3">
      <c r="A13" s="8"/>
      <c r="B13" s="84" t="s">
        <v>124</v>
      </c>
      <c r="C13" s="67" t="s">
        <v>33</v>
      </c>
      <c r="D13" s="60" t="s">
        <v>35</v>
      </c>
      <c r="E13" s="82" t="s">
        <v>25</v>
      </c>
      <c r="F13" s="82" t="s">
        <v>25</v>
      </c>
      <c r="G13" s="411">
        <v>41556221.369999997</v>
      </c>
      <c r="H13" s="64">
        <f t="shared" si="0"/>
        <v>0.16132414778902199</v>
      </c>
      <c r="I13" s="412">
        <v>3.4200000000000002E-4</v>
      </c>
      <c r="J13" s="257"/>
      <c r="K13" s="258"/>
      <c r="L13" s="259" t="s">
        <v>34</v>
      </c>
      <c r="M13" s="409">
        <v>2475197893.0100002</v>
      </c>
      <c r="N13" s="399">
        <f>G13/M13</f>
        <v>1.6789050074483117E-2</v>
      </c>
      <c r="O13" s="537"/>
      <c r="P13" s="508"/>
      <c r="Q13" s="543"/>
      <c r="R13" s="514"/>
      <c r="S13" s="534"/>
      <c r="T13" s="57"/>
      <c r="U13" s="57"/>
      <c r="V13" s="56"/>
      <c r="W13" s="57"/>
      <c r="X13" s="57"/>
      <c r="Y13" s="69"/>
    </row>
    <row r="14" spans="1:25" s="1" customFormat="1" ht="18" x14ac:dyDescent="0.25">
      <c r="A14" s="8"/>
      <c r="B14" s="53" t="s">
        <v>124</v>
      </c>
      <c r="C14" s="118" t="s">
        <v>33</v>
      </c>
      <c r="D14" s="65" t="s">
        <v>125</v>
      </c>
      <c r="E14" s="82" t="s">
        <v>25</v>
      </c>
      <c r="F14" s="82" t="s">
        <v>25</v>
      </c>
      <c r="G14" s="411">
        <v>42380914.369999997</v>
      </c>
      <c r="H14" s="397">
        <f>G14/$G$51</f>
        <v>0.16452566349537101</v>
      </c>
      <c r="I14" s="412">
        <v>4.2069999999999998E-3</v>
      </c>
      <c r="J14" s="86"/>
      <c r="K14" s="261"/>
      <c r="L14" s="259" t="s">
        <v>34</v>
      </c>
      <c r="M14" s="410">
        <v>7668949035.8800001</v>
      </c>
      <c r="N14" s="399">
        <f>G14/M14</f>
        <v>5.5263001712120329E-3</v>
      </c>
      <c r="O14" s="537"/>
      <c r="P14" s="508"/>
      <c r="Q14" s="543"/>
      <c r="R14" s="514"/>
      <c r="S14" s="534"/>
      <c r="T14" s="57"/>
      <c r="U14" s="57"/>
      <c r="V14" s="56"/>
      <c r="W14" s="57"/>
      <c r="X14" s="57"/>
      <c r="Y14" s="69"/>
    </row>
    <row r="15" spans="1:25" s="1" customFormat="1" ht="18.75" thickBot="1" x14ac:dyDescent="0.3">
      <c r="A15" s="8">
        <v>12</v>
      </c>
      <c r="B15" s="452" t="s">
        <v>139</v>
      </c>
      <c r="C15" s="66" t="s">
        <v>48</v>
      </c>
      <c r="D15" s="461" t="s">
        <v>187</v>
      </c>
      <c r="E15" s="79" t="s">
        <v>25</v>
      </c>
      <c r="F15" s="79" t="s">
        <v>26</v>
      </c>
      <c r="G15" s="385">
        <v>4663274.3499999996</v>
      </c>
      <c r="H15" s="64">
        <f t="shared" ref="H15" si="2">G15/$G$51</f>
        <v>1.8103156052663875E-2</v>
      </c>
      <c r="I15" s="386">
        <v>-3.2000000000000002E-3</v>
      </c>
      <c r="J15" s="277"/>
      <c r="K15" s="269"/>
      <c r="L15" s="259" t="s">
        <v>34</v>
      </c>
      <c r="M15" s="387">
        <v>267813735.44</v>
      </c>
      <c r="N15" s="61">
        <f t="shared" ref="N15" si="3">G15/M15</f>
        <v>1.7412379325274535E-2</v>
      </c>
      <c r="O15" s="538"/>
      <c r="P15" s="509"/>
      <c r="Q15" s="544"/>
      <c r="R15" s="515"/>
      <c r="S15" s="535"/>
      <c r="T15" s="57"/>
      <c r="U15" s="57"/>
      <c r="V15" s="56"/>
      <c r="W15" s="57"/>
      <c r="X15" s="57"/>
      <c r="Y15" s="69"/>
    </row>
    <row r="16" spans="1:25" s="1" customFormat="1" ht="16.5" thickBot="1" x14ac:dyDescent="0.3">
      <c r="A16" s="113"/>
      <c r="B16" s="227" t="s">
        <v>91</v>
      </c>
      <c r="C16" s="228"/>
      <c r="D16" s="229"/>
      <c r="E16" s="230"/>
      <c r="F16" s="230"/>
      <c r="G16" s="214"/>
      <c r="H16" s="43"/>
      <c r="I16" s="43"/>
      <c r="J16" s="43"/>
      <c r="K16" s="206"/>
      <c r="L16" s="210"/>
      <c r="M16" s="202"/>
      <c r="N16" s="115"/>
      <c r="O16" s="203" t="s">
        <v>28</v>
      </c>
      <c r="P16" s="329">
        <v>0</v>
      </c>
      <c r="Q16" s="108">
        <v>1</v>
      </c>
      <c r="R16" s="74">
        <v>0</v>
      </c>
      <c r="S16" s="469" t="s">
        <v>86</v>
      </c>
      <c r="T16" s="57"/>
      <c r="U16" s="57"/>
      <c r="V16" s="56"/>
      <c r="W16" s="57"/>
      <c r="X16" s="57"/>
      <c r="Y16" s="69"/>
    </row>
    <row r="17" spans="1:25" s="1" customFormat="1" ht="16.5" thickBot="1" x14ac:dyDescent="0.3">
      <c r="A17" s="113"/>
      <c r="B17" s="227" t="s">
        <v>87</v>
      </c>
      <c r="C17" s="228"/>
      <c r="D17" s="231"/>
      <c r="E17" s="232"/>
      <c r="F17" s="232"/>
      <c r="G17" s="215"/>
      <c r="H17" s="43"/>
      <c r="I17" s="83"/>
      <c r="J17" s="83"/>
      <c r="K17" s="119"/>
      <c r="L17" s="81"/>
      <c r="M17" s="98"/>
      <c r="N17" s="312"/>
      <c r="O17" s="209" t="s">
        <v>28</v>
      </c>
      <c r="P17" s="330">
        <v>0</v>
      </c>
      <c r="Q17" s="107">
        <v>0.05</v>
      </c>
      <c r="R17" s="108">
        <v>0</v>
      </c>
      <c r="S17" s="109" t="s">
        <v>88</v>
      </c>
      <c r="T17" s="57"/>
      <c r="U17" s="57"/>
      <c r="V17" s="56"/>
      <c r="W17" s="57"/>
      <c r="X17" s="57"/>
      <c r="Y17" s="69"/>
    </row>
    <row r="18" spans="1:25" s="52" customFormat="1" ht="16.5" thickBot="1" x14ac:dyDescent="0.25">
      <c r="A18" s="39"/>
      <c r="B18" s="224" t="s">
        <v>89</v>
      </c>
      <c r="C18" s="225"/>
      <c r="D18" s="226"/>
      <c r="E18" s="226"/>
      <c r="F18" s="226"/>
      <c r="G18" s="42">
        <f>SUM(G19:G21)</f>
        <v>49572849.420000002</v>
      </c>
      <c r="H18" s="43">
        <f>G18/$G$51</f>
        <v>0.19244525663077661</v>
      </c>
      <c r="I18" s="70"/>
      <c r="J18" s="44"/>
      <c r="K18" s="44"/>
      <c r="L18" s="211"/>
      <c r="M18" s="87"/>
      <c r="N18" s="88"/>
      <c r="O18" s="94"/>
      <c r="P18" s="331">
        <v>0</v>
      </c>
      <c r="Q18" s="471"/>
      <c r="R18" s="213"/>
      <c r="S18" s="90"/>
      <c r="T18" s="51"/>
      <c r="U18" s="51"/>
      <c r="V18" s="51"/>
      <c r="W18" s="51"/>
      <c r="X18" s="51"/>
      <c r="Y18" s="51"/>
    </row>
    <row r="19" spans="1:25" s="52" customFormat="1" ht="18.75" customHeight="1" thickBot="1" x14ac:dyDescent="0.3">
      <c r="A19" s="39"/>
      <c r="B19" s="76" t="s">
        <v>140</v>
      </c>
      <c r="C19" s="77" t="s">
        <v>29</v>
      </c>
      <c r="D19" s="55" t="s">
        <v>37</v>
      </c>
      <c r="E19" s="79" t="s">
        <v>25</v>
      </c>
      <c r="F19" s="117" t="s">
        <v>26</v>
      </c>
      <c r="G19" s="383">
        <v>19922778.190000001</v>
      </c>
      <c r="H19" s="97">
        <f>G19/$G$51</f>
        <v>7.7341613533027154E-2</v>
      </c>
      <c r="I19" s="378">
        <v>1.46E-4</v>
      </c>
      <c r="J19" s="80"/>
      <c r="K19" s="255"/>
      <c r="L19" s="259" t="s">
        <v>34</v>
      </c>
      <c r="M19" s="408">
        <v>2255256718.3099999</v>
      </c>
      <c r="N19" s="400">
        <f>G19/M19</f>
        <v>8.8339292055980845E-3</v>
      </c>
      <c r="O19" s="563" t="s">
        <v>179</v>
      </c>
      <c r="P19" s="566">
        <f>SUM(H19:H21)/H51</f>
        <v>0.19244525663077661</v>
      </c>
      <c r="Q19" s="542">
        <v>0.6</v>
      </c>
      <c r="R19" s="542">
        <v>0.35</v>
      </c>
      <c r="S19" s="560" t="s">
        <v>180</v>
      </c>
      <c r="T19" s="51"/>
      <c r="U19" s="51"/>
      <c r="V19" s="51"/>
      <c r="W19" s="51"/>
      <c r="X19" s="51"/>
      <c r="Y19" s="51"/>
    </row>
    <row r="20" spans="1:25" s="52" customFormat="1" ht="18" x14ac:dyDescent="0.25">
      <c r="A20" s="39"/>
      <c r="B20" s="53" t="s">
        <v>127</v>
      </c>
      <c r="C20" s="118" t="s">
        <v>128</v>
      </c>
      <c r="D20" s="65" t="s">
        <v>129</v>
      </c>
      <c r="E20" s="79" t="s">
        <v>25</v>
      </c>
      <c r="F20" s="79" t="s">
        <v>25</v>
      </c>
      <c r="G20" s="411">
        <v>20958692.149999999</v>
      </c>
      <c r="H20" s="97">
        <f>G20/$G$51</f>
        <v>8.1363103728004205E-2</v>
      </c>
      <c r="I20" s="412">
        <v>-3.5839999999999999E-3</v>
      </c>
      <c r="J20" s="367"/>
      <c r="K20" s="261"/>
      <c r="L20" s="259" t="s">
        <v>27</v>
      </c>
      <c r="M20" s="384">
        <v>1884809390.51</v>
      </c>
      <c r="N20" s="400">
        <f>G20/M20</f>
        <v>1.111979399907855E-2</v>
      </c>
      <c r="O20" s="564"/>
      <c r="P20" s="567"/>
      <c r="Q20" s="543"/>
      <c r="R20" s="543"/>
      <c r="S20" s="561"/>
      <c r="T20" s="51"/>
      <c r="U20" s="51"/>
      <c r="V20" s="51"/>
      <c r="W20" s="51"/>
      <c r="X20" s="51"/>
      <c r="Y20" s="51"/>
    </row>
    <row r="21" spans="1:25" s="52" customFormat="1" ht="18.75" thickBot="1" x14ac:dyDescent="0.3">
      <c r="A21" s="39"/>
      <c r="B21" s="53" t="s">
        <v>126</v>
      </c>
      <c r="C21" s="91" t="s">
        <v>38</v>
      </c>
      <c r="D21" s="92" t="s">
        <v>39</v>
      </c>
      <c r="E21" s="78" t="s">
        <v>25</v>
      </c>
      <c r="F21" s="78" t="s">
        <v>26</v>
      </c>
      <c r="G21" s="383">
        <v>8691379.0800000001</v>
      </c>
      <c r="H21" s="97">
        <f>G21/$G$51</f>
        <v>3.3740539369745255E-2</v>
      </c>
      <c r="I21" s="378">
        <v>3.8E-3</v>
      </c>
      <c r="J21" s="80"/>
      <c r="K21" s="271"/>
      <c r="L21" s="272" t="s">
        <v>34</v>
      </c>
      <c r="M21" s="384">
        <v>536163794.24000001</v>
      </c>
      <c r="N21" s="400">
        <f>G21/M21</f>
        <v>1.621030583073934E-2</v>
      </c>
      <c r="O21" s="565"/>
      <c r="P21" s="568"/>
      <c r="Q21" s="544"/>
      <c r="R21" s="544"/>
      <c r="S21" s="562"/>
      <c r="T21" s="51"/>
      <c r="U21" s="51"/>
      <c r="V21" s="51"/>
      <c r="W21" s="51"/>
      <c r="X21" s="51"/>
      <c r="Y21" s="51"/>
    </row>
    <row r="22" spans="1:25" s="1" customFormat="1" ht="16.5" thickBot="1" x14ac:dyDescent="0.3">
      <c r="A22" s="8"/>
      <c r="B22" s="233" t="s">
        <v>96</v>
      </c>
      <c r="C22" s="228"/>
      <c r="D22" s="234"/>
      <c r="E22" s="230"/>
      <c r="F22" s="232"/>
      <c r="G22" s="200"/>
      <c r="H22" s="218"/>
      <c r="I22" s="124"/>
      <c r="J22" s="124"/>
      <c r="K22" s="219"/>
      <c r="L22" s="317"/>
      <c r="M22" s="220"/>
      <c r="N22" s="43"/>
      <c r="O22" s="212" t="s">
        <v>90</v>
      </c>
      <c r="P22" s="330">
        <v>0</v>
      </c>
      <c r="Q22" s="108">
        <v>0.6</v>
      </c>
      <c r="R22" s="108">
        <v>0</v>
      </c>
      <c r="S22" s="207" t="s">
        <v>95</v>
      </c>
      <c r="T22" s="93"/>
      <c r="U22" s="57"/>
      <c r="V22" s="56"/>
      <c r="W22" s="56"/>
      <c r="X22" s="56"/>
      <c r="Y22" s="58"/>
    </row>
    <row r="23" spans="1:25" s="52" customFormat="1" ht="16.5" thickBot="1" x14ac:dyDescent="0.25">
      <c r="A23" s="39"/>
      <c r="B23" s="224" t="s">
        <v>92</v>
      </c>
      <c r="C23" s="225"/>
      <c r="D23" s="226"/>
      <c r="E23" s="226"/>
      <c r="F23" s="226"/>
      <c r="G23" s="221">
        <f>SUM(G24:G26)</f>
        <v>9725243.3900000006</v>
      </c>
      <c r="H23" s="124">
        <f>G23/$G$51</f>
        <v>3.7754072680563577E-2</v>
      </c>
      <c r="I23" s="217"/>
      <c r="J23" s="44"/>
      <c r="K23" s="102"/>
      <c r="L23" s="44"/>
      <c r="M23" s="87"/>
      <c r="N23" s="88"/>
      <c r="O23" s="41"/>
      <c r="P23" s="332"/>
      <c r="Q23" s="471"/>
      <c r="R23" s="472"/>
      <c r="S23" s="94"/>
      <c r="T23" s="51"/>
      <c r="U23" s="51"/>
      <c r="V23" s="51"/>
      <c r="W23" s="51"/>
      <c r="X23" s="51"/>
      <c r="Y23" s="51"/>
    </row>
    <row r="24" spans="1:25" s="1" customFormat="1" ht="18.75" thickBot="1" x14ac:dyDescent="0.3">
      <c r="A24" s="8"/>
      <c r="B24" s="53" t="s">
        <v>141</v>
      </c>
      <c r="C24" s="91" t="s">
        <v>40</v>
      </c>
      <c r="D24" s="60" t="s">
        <v>41</v>
      </c>
      <c r="E24" s="85" t="s">
        <v>42</v>
      </c>
      <c r="F24" s="85" t="s">
        <v>42</v>
      </c>
      <c r="G24" s="404">
        <v>17561.14</v>
      </c>
      <c r="H24" s="95">
        <f>G24/$G$51</f>
        <v>6.8173569475421856E-5</v>
      </c>
      <c r="I24" s="405">
        <v>5.1000000000000004E-3</v>
      </c>
      <c r="J24" s="277"/>
      <c r="K24" s="269"/>
      <c r="L24" s="259" t="s">
        <v>43</v>
      </c>
      <c r="M24" s="406">
        <v>6681676467.8599997</v>
      </c>
      <c r="N24" s="399">
        <f>G24/M24</f>
        <v>2.6282535654744836E-6</v>
      </c>
      <c r="O24" s="504" t="s">
        <v>36</v>
      </c>
      <c r="P24" s="527">
        <f>SUM(G24:G26)/G51</f>
        <v>3.7754072680563577E-2</v>
      </c>
      <c r="Q24" s="530">
        <v>0.4</v>
      </c>
      <c r="R24" s="530">
        <v>0.3</v>
      </c>
      <c r="S24" s="533" t="s">
        <v>149</v>
      </c>
      <c r="T24" s="57"/>
      <c r="U24" s="57"/>
      <c r="V24" s="56"/>
      <c r="W24" s="57"/>
      <c r="X24" s="57"/>
      <c r="Y24" s="69"/>
    </row>
    <row r="25" spans="1:25" s="1" customFormat="1" ht="18.75" thickBot="1" x14ac:dyDescent="0.3">
      <c r="A25" s="8"/>
      <c r="B25" s="53" t="s">
        <v>130</v>
      </c>
      <c r="C25" s="75" t="s">
        <v>24</v>
      </c>
      <c r="D25" s="60" t="s">
        <v>44</v>
      </c>
      <c r="E25" s="85" t="s">
        <v>25</v>
      </c>
      <c r="F25" s="85" t="s">
        <v>26</v>
      </c>
      <c r="G25" s="377">
        <v>8620039.9299999997</v>
      </c>
      <c r="H25" s="95">
        <f>G25/$G$51</f>
        <v>3.3463595817171642E-2</v>
      </c>
      <c r="I25" s="416">
        <v>5.8999999999999999E-3</v>
      </c>
      <c r="J25" s="80"/>
      <c r="K25" s="258"/>
      <c r="L25" s="259" t="s">
        <v>45</v>
      </c>
      <c r="M25" s="414">
        <v>1494479068.4000001</v>
      </c>
      <c r="N25" s="399">
        <f t="shared" ref="N25:N26" si="4">G25/M25</f>
        <v>5.767922824927E-3</v>
      </c>
      <c r="O25" s="505"/>
      <c r="P25" s="528"/>
      <c r="Q25" s="531"/>
      <c r="R25" s="531"/>
      <c r="S25" s="534"/>
      <c r="T25" s="57"/>
      <c r="U25" s="57"/>
      <c r="V25" s="56"/>
      <c r="W25" s="57"/>
      <c r="X25" s="57"/>
      <c r="Y25" s="69"/>
    </row>
    <row r="26" spans="1:25" s="1" customFormat="1" ht="18.75" thickBot="1" x14ac:dyDescent="0.3">
      <c r="A26" s="8">
        <v>23</v>
      </c>
      <c r="B26" s="53" t="s">
        <v>131</v>
      </c>
      <c r="C26" s="75" t="s">
        <v>132</v>
      </c>
      <c r="D26" s="60" t="s">
        <v>182</v>
      </c>
      <c r="E26" s="85" t="s">
        <v>25</v>
      </c>
      <c r="F26" s="85" t="s">
        <v>25</v>
      </c>
      <c r="G26" s="404">
        <v>1087642.32</v>
      </c>
      <c r="H26" s="95">
        <f>G26/$G$51</f>
        <v>4.222303293916512E-3</v>
      </c>
      <c r="I26" s="412">
        <v>5.1000000000000004E-3</v>
      </c>
      <c r="J26" s="86"/>
      <c r="K26" s="258"/>
      <c r="L26" s="315" t="s">
        <v>43</v>
      </c>
      <c r="M26" s="415">
        <v>10845925063.57</v>
      </c>
      <c r="N26" s="401">
        <f t="shared" si="4"/>
        <v>1.0028119442326262E-4</v>
      </c>
      <c r="O26" s="506"/>
      <c r="P26" s="529"/>
      <c r="Q26" s="532"/>
      <c r="R26" s="532"/>
      <c r="S26" s="535"/>
      <c r="T26" s="57"/>
      <c r="U26" s="57"/>
      <c r="V26" s="56"/>
      <c r="W26" s="57"/>
      <c r="X26" s="57"/>
      <c r="Y26" s="69"/>
    </row>
    <row r="27" spans="1:25" s="1" customFormat="1" ht="16.5" thickBot="1" x14ac:dyDescent="0.3">
      <c r="A27" s="8"/>
      <c r="B27" s="233" t="s">
        <v>93</v>
      </c>
      <c r="C27" s="228"/>
      <c r="D27" s="231"/>
      <c r="E27" s="235"/>
      <c r="F27" s="235"/>
      <c r="G27" s="214"/>
      <c r="H27" s="218"/>
      <c r="I27" s="43"/>
      <c r="J27" s="43"/>
      <c r="K27" s="206"/>
      <c r="L27" s="222"/>
      <c r="M27" s="204"/>
      <c r="N27" s="115"/>
      <c r="O27" s="212" t="s">
        <v>36</v>
      </c>
      <c r="P27" s="330">
        <v>0</v>
      </c>
      <c r="Q27" s="107">
        <v>0.4</v>
      </c>
      <c r="R27" s="108">
        <v>0</v>
      </c>
      <c r="S27" s="109" t="s">
        <v>94</v>
      </c>
      <c r="T27" s="57"/>
      <c r="U27" s="57"/>
      <c r="V27" s="56"/>
      <c r="W27" s="57"/>
      <c r="X27" s="57"/>
      <c r="Y27" s="69"/>
    </row>
    <row r="28" spans="1:25" s="1" customFormat="1" ht="16.5" thickBot="1" x14ac:dyDescent="0.3">
      <c r="A28" s="8"/>
      <c r="B28" s="233" t="s">
        <v>97</v>
      </c>
      <c r="C28" s="228"/>
      <c r="D28" s="229"/>
      <c r="E28" s="235"/>
      <c r="F28" s="235"/>
      <c r="G28" s="214"/>
      <c r="H28" s="124"/>
      <c r="I28" s="43"/>
      <c r="J28" s="124"/>
      <c r="K28" s="100"/>
      <c r="L28" s="222"/>
      <c r="M28" s="101"/>
      <c r="N28" s="322"/>
      <c r="O28" s="275" t="s">
        <v>36</v>
      </c>
      <c r="P28" s="330">
        <v>0</v>
      </c>
      <c r="Q28" s="108">
        <v>0.2</v>
      </c>
      <c r="R28" s="74">
        <v>0</v>
      </c>
      <c r="S28" s="109" t="s">
        <v>98</v>
      </c>
      <c r="T28" s="57"/>
      <c r="U28" s="57"/>
      <c r="V28" s="56"/>
      <c r="W28" s="57"/>
      <c r="X28" s="57"/>
      <c r="Y28" s="69"/>
    </row>
    <row r="29" spans="1:25" s="1" customFormat="1" ht="16.5" thickBot="1" x14ac:dyDescent="0.3">
      <c r="A29" s="8"/>
      <c r="B29" s="233" t="s">
        <v>99</v>
      </c>
      <c r="C29" s="228"/>
      <c r="D29" s="229"/>
      <c r="E29" s="235"/>
      <c r="F29" s="235"/>
      <c r="G29" s="205"/>
      <c r="H29" s="124"/>
      <c r="I29" s="43"/>
      <c r="J29" s="124"/>
      <c r="K29" s="100"/>
      <c r="L29" s="222"/>
      <c r="M29" s="101"/>
      <c r="N29" s="322"/>
      <c r="O29" s="201" t="s">
        <v>36</v>
      </c>
      <c r="P29" s="466">
        <v>0</v>
      </c>
      <c r="Q29" s="73">
        <v>0.15</v>
      </c>
      <c r="R29" s="74">
        <v>0</v>
      </c>
      <c r="S29" s="109" t="s">
        <v>101</v>
      </c>
      <c r="T29" s="57"/>
      <c r="U29" s="57"/>
      <c r="V29" s="56"/>
      <c r="W29" s="57"/>
      <c r="X29" s="57"/>
      <c r="Y29" s="69"/>
    </row>
    <row r="30" spans="1:25" s="1" customFormat="1" ht="16.5" thickBot="1" x14ac:dyDescent="0.3">
      <c r="A30" s="8"/>
      <c r="B30" s="233" t="s">
        <v>100</v>
      </c>
      <c r="C30" s="228"/>
      <c r="D30" s="229"/>
      <c r="E30" s="235"/>
      <c r="F30" s="235"/>
      <c r="G30" s="205"/>
      <c r="H30" s="124"/>
      <c r="I30" s="43"/>
      <c r="J30" s="124"/>
      <c r="K30" s="100"/>
      <c r="L30" s="222"/>
      <c r="M30" s="101"/>
      <c r="N30" s="322"/>
      <c r="O30" s="201" t="s">
        <v>36</v>
      </c>
      <c r="P30" s="466">
        <v>0</v>
      </c>
      <c r="Q30" s="73">
        <v>0.15</v>
      </c>
      <c r="R30" s="74">
        <v>0</v>
      </c>
      <c r="S30" s="109" t="s">
        <v>102</v>
      </c>
      <c r="T30" s="57"/>
      <c r="U30" s="57"/>
      <c r="V30" s="56"/>
      <c r="W30" s="57"/>
      <c r="X30" s="57"/>
      <c r="Y30" s="69"/>
    </row>
    <row r="31" spans="1:25" s="52" customFormat="1" ht="16.5" thickBot="1" x14ac:dyDescent="0.25">
      <c r="A31" s="39"/>
      <c r="B31" s="224" t="s">
        <v>103</v>
      </c>
      <c r="C31" s="225"/>
      <c r="D31" s="226"/>
      <c r="E31" s="226"/>
      <c r="F31" s="226"/>
      <c r="G31" s="42"/>
      <c r="H31" s="43">
        <f>G31/$G$51</f>
        <v>0</v>
      </c>
      <c r="I31" s="70"/>
      <c r="J31" s="44"/>
      <c r="K31" s="44"/>
      <c r="L31" s="102"/>
      <c r="M31" s="103"/>
      <c r="N31" s="323"/>
      <c r="O31" s="104"/>
      <c r="P31" s="334">
        <v>0</v>
      </c>
      <c r="Q31" s="471"/>
      <c r="R31" s="472"/>
      <c r="S31" s="90"/>
      <c r="T31" s="51"/>
      <c r="U31" s="51"/>
      <c r="V31" s="51"/>
      <c r="W31" s="51"/>
      <c r="X31" s="51"/>
      <c r="Y31" s="51"/>
    </row>
    <row r="32" spans="1:25" s="1" customFormat="1" ht="16.5" thickBot="1" x14ac:dyDescent="0.3">
      <c r="A32" s="8"/>
      <c r="B32" s="236" t="s">
        <v>104</v>
      </c>
      <c r="C32" s="228"/>
      <c r="D32" s="237"/>
      <c r="E32" s="235"/>
      <c r="F32" s="235"/>
      <c r="G32" s="199"/>
      <c r="H32" s="124"/>
      <c r="I32" s="223"/>
      <c r="J32" s="124"/>
      <c r="K32" s="100"/>
      <c r="L32" s="222"/>
      <c r="M32" s="101"/>
      <c r="N32" s="115"/>
      <c r="O32" s="217"/>
      <c r="P32" s="330">
        <v>0</v>
      </c>
      <c r="Q32" s="107">
        <v>0.05</v>
      </c>
      <c r="R32" s="108">
        <v>0.01</v>
      </c>
      <c r="S32" s="469" t="s">
        <v>106</v>
      </c>
      <c r="T32" s="57"/>
      <c r="U32" s="57"/>
      <c r="V32" s="56"/>
      <c r="W32" s="57"/>
      <c r="X32" s="56"/>
      <c r="Y32" s="58"/>
    </row>
    <row r="33" spans="1:25" s="1" customFormat="1" ht="16.5" thickBot="1" x14ac:dyDescent="0.3">
      <c r="A33" s="8"/>
      <c r="B33" s="236" t="s">
        <v>105</v>
      </c>
      <c r="C33" s="228"/>
      <c r="D33" s="237"/>
      <c r="E33" s="235"/>
      <c r="F33" s="235"/>
      <c r="G33" s="199"/>
      <c r="H33" s="124"/>
      <c r="I33" s="223"/>
      <c r="J33" s="124"/>
      <c r="K33" s="100"/>
      <c r="L33" s="222"/>
      <c r="M33" s="101"/>
      <c r="N33" s="322"/>
      <c r="O33" s="217"/>
      <c r="P33" s="330">
        <v>0</v>
      </c>
      <c r="Q33" s="107">
        <v>0.05</v>
      </c>
      <c r="R33" s="108">
        <v>0</v>
      </c>
      <c r="S33" s="469" t="s">
        <v>107</v>
      </c>
      <c r="T33" s="57"/>
      <c r="U33" s="57"/>
      <c r="V33" s="56"/>
      <c r="W33" s="57"/>
      <c r="X33" s="56"/>
      <c r="Y33" s="58"/>
    </row>
    <row r="34" spans="1:25" s="52" customFormat="1" ht="16.5" thickBot="1" x14ac:dyDescent="0.25">
      <c r="A34" s="39"/>
      <c r="B34" s="224" t="s">
        <v>108</v>
      </c>
      <c r="C34" s="225"/>
      <c r="D34" s="226"/>
      <c r="E34" s="226"/>
      <c r="F34" s="226"/>
      <c r="G34" s="42"/>
      <c r="H34" s="43">
        <f>G34/$G$51</f>
        <v>0</v>
      </c>
      <c r="I34" s="70"/>
      <c r="J34" s="44"/>
      <c r="K34" s="44"/>
      <c r="L34" s="44"/>
      <c r="M34" s="87"/>
      <c r="N34" s="323"/>
      <c r="O34" s="41"/>
      <c r="P34" s="337">
        <f>SUM((G4+G9+G16+G17+G18+G22+G23+G27+G28+G29+G31+G32+G33)/G51)</f>
        <v>0.91547993977688746</v>
      </c>
      <c r="Q34" s="471"/>
      <c r="R34" s="472"/>
      <c r="S34" s="90"/>
      <c r="T34" s="51"/>
      <c r="U34" s="51"/>
      <c r="V34" s="51"/>
      <c r="W34" s="51"/>
      <c r="X34" s="51"/>
      <c r="Y34" s="51"/>
    </row>
    <row r="35" spans="1:25" s="1" customFormat="1" ht="16.5" thickBot="1" x14ac:dyDescent="0.3">
      <c r="A35" s="113"/>
      <c r="B35" s="224" t="s">
        <v>111</v>
      </c>
      <c r="C35" s="225"/>
      <c r="D35" s="226"/>
      <c r="E35" s="226"/>
      <c r="F35" s="226"/>
      <c r="G35" s="42"/>
      <c r="H35" s="115">
        <f>G35/$G$51</f>
        <v>0</v>
      </c>
      <c r="I35" s="70"/>
      <c r="J35" s="44"/>
      <c r="K35" s="44"/>
      <c r="L35" s="44"/>
      <c r="M35" s="87"/>
      <c r="N35" s="88"/>
      <c r="O35" s="41"/>
      <c r="P35" s="334">
        <v>0</v>
      </c>
      <c r="Q35" s="48"/>
      <c r="R35" s="472"/>
      <c r="S35" s="90"/>
      <c r="T35" s="57"/>
      <c r="U35" s="57"/>
      <c r="V35" s="56"/>
      <c r="W35" s="57"/>
      <c r="X35" s="57"/>
      <c r="Y35" s="112"/>
    </row>
    <row r="36" spans="1:25" s="52" customFormat="1" ht="16.5" thickBot="1" x14ac:dyDescent="0.25">
      <c r="A36" s="39"/>
      <c r="B36" s="224" t="s">
        <v>109</v>
      </c>
      <c r="C36" s="225"/>
      <c r="D36" s="226"/>
      <c r="E36" s="226"/>
      <c r="F36" s="226"/>
      <c r="G36" s="42">
        <f>SUM(G37:G40)</f>
        <v>18072477.990000002</v>
      </c>
      <c r="H36" s="43">
        <f>G36/$G$51</f>
        <v>7.0158619192392843E-2</v>
      </c>
      <c r="I36" s="70"/>
      <c r="J36" s="28"/>
      <c r="K36" s="44"/>
      <c r="L36" s="44"/>
      <c r="M36" s="87"/>
      <c r="N36" s="88"/>
      <c r="O36" s="104"/>
      <c r="P36" s="332"/>
      <c r="Q36" s="471"/>
      <c r="R36" s="471"/>
      <c r="S36" s="94"/>
      <c r="T36" s="51"/>
      <c r="U36" s="51"/>
      <c r="V36" s="51"/>
      <c r="W36" s="51"/>
      <c r="X36" s="51"/>
      <c r="Y36" s="51"/>
    </row>
    <row r="37" spans="1:25" s="52" customFormat="1" ht="18.75" thickBot="1" x14ac:dyDescent="0.3">
      <c r="A37" s="39"/>
      <c r="B37" s="53" t="s">
        <v>193</v>
      </c>
      <c r="C37" s="118"/>
      <c r="D37" s="60" t="s">
        <v>190</v>
      </c>
      <c r="E37" s="85" t="s">
        <v>191</v>
      </c>
      <c r="F37" s="85" t="s">
        <v>192</v>
      </c>
      <c r="G37" s="377">
        <v>3591926.86</v>
      </c>
      <c r="H37" s="61">
        <f t="shared" ref="H37:H40" si="5">G37/$G$51</f>
        <v>1.3944110424542135E-2</v>
      </c>
      <c r="I37" s="378">
        <v>-3.0700000000000002E-2</v>
      </c>
      <c r="J37" s="111"/>
      <c r="K37" s="476"/>
      <c r="L37" s="81" t="s">
        <v>46</v>
      </c>
      <c r="M37" s="478">
        <v>717829001.25999999</v>
      </c>
      <c r="N37" s="64">
        <f t="shared" ref="N37" si="6">G37/M37</f>
        <v>5.0038753710077424E-3</v>
      </c>
      <c r="O37" s="40"/>
      <c r="P37" s="327"/>
      <c r="Q37" s="474"/>
      <c r="R37" s="474"/>
      <c r="S37" s="475"/>
      <c r="T37" s="51"/>
      <c r="U37" s="51"/>
      <c r="V37" s="51"/>
      <c r="W37" s="51"/>
      <c r="X37" s="51"/>
      <c r="Y37" s="51"/>
    </row>
    <row r="38" spans="1:25" s="1" customFormat="1" ht="18" x14ac:dyDescent="0.25">
      <c r="A38" s="8">
        <v>36</v>
      </c>
      <c r="B38" s="53" t="s">
        <v>134</v>
      </c>
      <c r="C38" s="118"/>
      <c r="D38" s="60" t="s">
        <v>49</v>
      </c>
      <c r="E38" s="85" t="s">
        <v>50</v>
      </c>
      <c r="F38" s="85" t="s">
        <v>51</v>
      </c>
      <c r="G38" s="377">
        <v>6830119.21</v>
      </c>
      <c r="H38" s="61">
        <f t="shared" si="5"/>
        <v>2.6514998826291943E-2</v>
      </c>
      <c r="I38" s="378">
        <v>-2.5999999999999999E-2</v>
      </c>
      <c r="J38" s="111"/>
      <c r="K38" s="263"/>
      <c r="L38" s="262" t="s">
        <v>135</v>
      </c>
      <c r="M38" s="379">
        <v>599564848.42999995</v>
      </c>
      <c r="N38" s="318">
        <f t="shared" ref="N38:N40" si="7">G38/M38</f>
        <v>1.1391793945033831E-2</v>
      </c>
      <c r="O38" s="536" t="s">
        <v>47</v>
      </c>
      <c r="P38" s="507">
        <f>SUM(G38:G40)/G51</f>
        <v>5.6214508767850689E-2</v>
      </c>
      <c r="Q38" s="530">
        <v>0.2</v>
      </c>
      <c r="R38" s="542">
        <v>0.15</v>
      </c>
      <c r="S38" s="533" t="s">
        <v>145</v>
      </c>
      <c r="T38" s="57"/>
      <c r="U38" s="57"/>
      <c r="V38" s="56"/>
      <c r="W38" s="57"/>
      <c r="X38" s="57"/>
      <c r="Y38" s="112"/>
    </row>
    <row r="39" spans="1:25" s="1" customFormat="1" ht="18" x14ac:dyDescent="0.25">
      <c r="A39" s="8"/>
      <c r="B39" s="53" t="s">
        <v>134</v>
      </c>
      <c r="C39" s="118"/>
      <c r="D39" s="60" t="s">
        <v>175</v>
      </c>
      <c r="E39" s="85" t="s">
        <v>26</v>
      </c>
      <c r="F39" s="85" t="s">
        <v>32</v>
      </c>
      <c r="G39" s="377">
        <v>3632146.26</v>
      </c>
      <c r="H39" s="61">
        <f t="shared" si="5"/>
        <v>1.4100244938597588E-2</v>
      </c>
      <c r="I39" s="378">
        <v>-4.3499999999999997E-2</v>
      </c>
      <c r="J39" s="111"/>
      <c r="K39" s="265"/>
      <c r="L39" s="262" t="s">
        <v>46</v>
      </c>
      <c r="M39" s="379">
        <v>472313252.19</v>
      </c>
      <c r="N39" s="264">
        <f t="shared" si="7"/>
        <v>7.6901214250471141E-3</v>
      </c>
      <c r="O39" s="537"/>
      <c r="P39" s="508"/>
      <c r="Q39" s="531"/>
      <c r="R39" s="543"/>
      <c r="S39" s="534"/>
      <c r="T39" s="57"/>
      <c r="U39" s="57"/>
      <c r="V39" s="56"/>
      <c r="W39" s="57"/>
      <c r="X39" s="57"/>
      <c r="Y39" s="112"/>
    </row>
    <row r="40" spans="1:25" s="1" customFormat="1" ht="18.75" thickBot="1" x14ac:dyDescent="0.3">
      <c r="A40" s="8"/>
      <c r="B40" s="266" t="s">
        <v>137</v>
      </c>
      <c r="C40" s="77"/>
      <c r="D40" s="67" t="s">
        <v>171</v>
      </c>
      <c r="E40" s="110">
        <v>0.54</v>
      </c>
      <c r="F40" s="99" t="s">
        <v>32</v>
      </c>
      <c r="G40" s="381">
        <v>4018285.66</v>
      </c>
      <c r="H40" s="121">
        <f t="shared" si="5"/>
        <v>1.5599265002961162E-2</v>
      </c>
      <c r="I40" s="380">
        <v>-3.1600000000000003E-2</v>
      </c>
      <c r="J40" s="111"/>
      <c r="K40" s="216"/>
      <c r="L40" s="267" t="s">
        <v>138</v>
      </c>
      <c r="M40" s="382">
        <v>280172647.86000001</v>
      </c>
      <c r="N40" s="61">
        <f t="shared" si="7"/>
        <v>1.4342176835220205E-2</v>
      </c>
      <c r="O40" s="538"/>
      <c r="P40" s="509"/>
      <c r="Q40" s="532"/>
      <c r="R40" s="544"/>
      <c r="S40" s="535"/>
      <c r="T40" s="57"/>
      <c r="U40" s="57"/>
      <c r="V40" s="56"/>
      <c r="W40" s="57"/>
      <c r="X40" s="57"/>
      <c r="Y40" s="112"/>
    </row>
    <row r="41" spans="1:25" s="1" customFormat="1" ht="16.5" thickBot="1" x14ac:dyDescent="0.3">
      <c r="A41" s="8"/>
      <c r="B41" s="240" t="s">
        <v>112</v>
      </c>
      <c r="C41" s="228"/>
      <c r="D41" s="239"/>
      <c r="E41" s="230"/>
      <c r="F41" s="232"/>
      <c r="G41" s="238"/>
      <c r="H41" s="124"/>
      <c r="I41" s="83"/>
      <c r="J41" s="273"/>
      <c r="K41" s="206"/>
      <c r="L41" s="274"/>
      <c r="M41" s="204"/>
      <c r="N41" s="43"/>
      <c r="O41" s="275" t="s">
        <v>47</v>
      </c>
      <c r="P41" s="336">
        <v>0</v>
      </c>
      <c r="Q41" s="73">
        <v>0.2</v>
      </c>
      <c r="R41" s="74">
        <v>0</v>
      </c>
      <c r="S41" s="276" t="s">
        <v>110</v>
      </c>
      <c r="T41" s="57"/>
      <c r="U41" s="57"/>
      <c r="V41" s="56"/>
      <c r="W41" s="57"/>
      <c r="X41" s="57"/>
      <c r="Y41" s="112"/>
    </row>
    <row r="42" spans="1:25" s="52" customFormat="1" ht="16.5" thickBot="1" x14ac:dyDescent="0.25">
      <c r="A42" s="39"/>
      <c r="B42" s="240" t="s">
        <v>113</v>
      </c>
      <c r="C42" s="225"/>
      <c r="D42" s="226"/>
      <c r="E42" s="226"/>
      <c r="F42" s="226"/>
      <c r="G42" s="42">
        <f>SUM(G43:G44)</f>
        <v>3452775.11</v>
      </c>
      <c r="H42" s="43">
        <f>G42/$G$51</f>
        <v>1.3403913632292229E-2</v>
      </c>
      <c r="I42" s="278"/>
      <c r="J42" s="44"/>
      <c r="K42" s="44"/>
      <c r="L42" s="44"/>
      <c r="M42" s="87"/>
      <c r="N42" s="254"/>
      <c r="O42" s="104"/>
      <c r="P42" s="334"/>
      <c r="Q42" s="471"/>
      <c r="R42" s="472"/>
      <c r="S42" s="116"/>
      <c r="T42" s="51"/>
      <c r="U42" s="51"/>
      <c r="V42" s="51"/>
      <c r="W42" s="51"/>
      <c r="X42" s="51"/>
      <c r="Y42" s="51"/>
    </row>
    <row r="43" spans="1:25" s="1" customFormat="1" ht="18.75" thickBot="1" x14ac:dyDescent="0.3">
      <c r="A43" s="8"/>
      <c r="B43" s="268" t="s">
        <v>139</v>
      </c>
      <c r="C43" s="66" t="s">
        <v>48</v>
      </c>
      <c r="D43" s="122" t="s">
        <v>53</v>
      </c>
      <c r="E43" s="79" t="s">
        <v>25</v>
      </c>
      <c r="F43" s="79" t="s">
        <v>26</v>
      </c>
      <c r="G43" s="385">
        <v>3452775.11</v>
      </c>
      <c r="H43" s="64">
        <f t="shared" ref="H43:H46" si="8">G43/$G$51</f>
        <v>1.3403913632292229E-2</v>
      </c>
      <c r="I43" s="386">
        <v>1.6000000000000001E-3</v>
      </c>
      <c r="J43" s="277"/>
      <c r="K43" s="269"/>
      <c r="L43" s="123" t="s">
        <v>43</v>
      </c>
      <c r="M43" s="387">
        <v>1037025558.5</v>
      </c>
      <c r="N43" s="61">
        <f t="shared" ref="N43" si="9">G43/M43</f>
        <v>3.3294985660664409E-3</v>
      </c>
      <c r="O43" s="525" t="s">
        <v>150</v>
      </c>
      <c r="P43" s="507">
        <f>SUM(G43:G44)/G51</f>
        <v>1.3403913632292229E-2</v>
      </c>
      <c r="Q43" s="510">
        <v>0.1</v>
      </c>
      <c r="R43" s="510">
        <v>0.03</v>
      </c>
      <c r="S43" s="519"/>
      <c r="T43" s="57"/>
      <c r="U43" s="57"/>
      <c r="V43" s="56"/>
      <c r="W43" s="57"/>
      <c r="X43" s="57"/>
      <c r="Y43" s="69"/>
    </row>
    <row r="44" spans="1:25" s="1" customFormat="1" ht="18.75" thickBot="1" x14ac:dyDescent="0.3">
      <c r="A44" s="8"/>
      <c r="B44" s="279" t="s">
        <v>130</v>
      </c>
      <c r="C44" s="118"/>
      <c r="D44" s="67" t="s">
        <v>55</v>
      </c>
      <c r="E44" s="85" t="s">
        <v>56</v>
      </c>
      <c r="F44" s="85" t="s">
        <v>56</v>
      </c>
      <c r="G44" s="294">
        <v>0</v>
      </c>
      <c r="H44" s="68">
        <f t="shared" si="8"/>
        <v>0</v>
      </c>
      <c r="I44" s="295">
        <v>0</v>
      </c>
      <c r="J44" s="105"/>
      <c r="K44" s="270"/>
      <c r="L44" s="262" t="s">
        <v>46</v>
      </c>
      <c r="M44" s="311">
        <v>0</v>
      </c>
      <c r="N44" s="477">
        <v>0</v>
      </c>
      <c r="O44" s="526"/>
      <c r="P44" s="509"/>
      <c r="Q44" s="512"/>
      <c r="R44" s="512"/>
      <c r="S44" s="520"/>
      <c r="T44" s="57"/>
      <c r="U44" s="57"/>
      <c r="V44" s="56"/>
      <c r="W44" s="57"/>
      <c r="X44" s="57"/>
      <c r="Y44" s="69"/>
    </row>
    <row r="45" spans="1:25" s="1" customFormat="1" ht="16.5" thickBot="1" x14ac:dyDescent="0.3">
      <c r="A45" s="8"/>
      <c r="B45" s="240" t="s">
        <v>114</v>
      </c>
      <c r="C45" s="225"/>
      <c r="D45" s="226"/>
      <c r="E45" s="226"/>
      <c r="F45" s="226"/>
      <c r="G45" s="42">
        <f>SUM(G46)</f>
        <v>241770.41</v>
      </c>
      <c r="H45" s="43">
        <f>G45/$G$51</f>
        <v>9.385695827968018E-4</v>
      </c>
      <c r="I45" s="70"/>
      <c r="J45" s="71"/>
      <c r="K45" s="71"/>
      <c r="L45" s="44"/>
      <c r="M45" s="72"/>
      <c r="N45" s="88"/>
      <c r="O45" s="319"/>
      <c r="P45" s="335"/>
      <c r="Q45" s="324"/>
      <c r="R45" s="320"/>
      <c r="S45" s="11"/>
      <c r="T45" s="57"/>
      <c r="U45" s="57"/>
      <c r="V45" s="56"/>
      <c r="W45" s="57"/>
      <c r="X45" s="57"/>
      <c r="Y45" s="69"/>
    </row>
    <row r="46" spans="1:25" s="1" customFormat="1" ht="16.5" thickBot="1" x14ac:dyDescent="0.3">
      <c r="A46" s="8"/>
      <c r="B46" s="453" t="s">
        <v>186</v>
      </c>
      <c r="C46" s="125"/>
      <c r="D46" s="454" t="s">
        <v>184</v>
      </c>
      <c r="E46" s="390" t="s">
        <v>185</v>
      </c>
      <c r="F46" s="390" t="s">
        <v>185</v>
      </c>
      <c r="G46" s="455">
        <v>241770.41</v>
      </c>
      <c r="H46" s="68">
        <f t="shared" si="8"/>
        <v>9.385695827968018E-4</v>
      </c>
      <c r="I46" s="456">
        <v>-0.28310000000000002</v>
      </c>
      <c r="J46" s="457"/>
      <c r="K46" s="458"/>
      <c r="L46" s="125" t="s">
        <v>45</v>
      </c>
      <c r="M46" s="459">
        <v>6427063.5300000003</v>
      </c>
      <c r="N46" s="460">
        <f>G46/M46</f>
        <v>3.7617554093167645E-2</v>
      </c>
      <c r="O46" s="319" t="s">
        <v>151</v>
      </c>
      <c r="P46" s="335">
        <v>0.02</v>
      </c>
      <c r="Q46" s="324">
        <v>0.05</v>
      </c>
      <c r="R46" s="320">
        <v>0.03</v>
      </c>
      <c r="S46" s="11" t="s">
        <v>152</v>
      </c>
      <c r="T46" s="57"/>
      <c r="U46" s="57"/>
      <c r="V46" s="56"/>
      <c r="W46" s="57"/>
      <c r="X46" s="57"/>
      <c r="Y46" s="69"/>
    </row>
    <row r="47" spans="1:25" s="52" customFormat="1" ht="16.5" thickBot="1" x14ac:dyDescent="0.25">
      <c r="A47" s="39"/>
      <c r="B47" s="240" t="s">
        <v>115</v>
      </c>
      <c r="C47" s="225"/>
      <c r="D47" s="226"/>
      <c r="E47" s="226"/>
      <c r="F47" s="226"/>
      <c r="G47" s="42"/>
      <c r="H47" s="43">
        <f>G47/$G$51</f>
        <v>0</v>
      </c>
      <c r="I47" s="70"/>
      <c r="J47" s="44"/>
      <c r="K47" s="44"/>
      <c r="L47" s="44"/>
      <c r="M47" s="87"/>
      <c r="N47" s="254"/>
      <c r="O47" s="321" t="s">
        <v>153</v>
      </c>
      <c r="P47" s="335">
        <v>0</v>
      </c>
      <c r="Q47" s="320">
        <v>0.05</v>
      </c>
      <c r="R47" s="320">
        <v>0.03</v>
      </c>
      <c r="S47" s="11" t="s">
        <v>154</v>
      </c>
      <c r="T47" s="51"/>
      <c r="U47" s="51"/>
      <c r="V47" s="51"/>
      <c r="W47" s="51"/>
      <c r="X47" s="51"/>
      <c r="Y47" s="51"/>
    </row>
    <row r="48" spans="1:25" s="1" customFormat="1" ht="12" customHeight="1" thickBot="1" x14ac:dyDescent="0.3">
      <c r="A48" s="113"/>
      <c r="B48" s="114" t="s">
        <v>57</v>
      </c>
      <c r="C48" s="40"/>
      <c r="D48" s="41"/>
      <c r="E48" s="126"/>
      <c r="F48" s="126"/>
      <c r="G48" s="127">
        <f>SUM(G49:G50)</f>
        <v>4883.43</v>
      </c>
      <c r="H48" s="128">
        <f>G48/$G$51</f>
        <v>1.8957815630611646E-5</v>
      </c>
      <c r="I48" s="129"/>
      <c r="J48" s="130"/>
      <c r="K48" s="130"/>
      <c r="L48" s="130"/>
      <c r="M48" s="131"/>
      <c r="N48" s="88"/>
      <c r="O48" s="132"/>
      <c r="P48" s="339">
        <f>SUM((G34+G35+G36+G42+G47)/G51)</f>
        <v>8.3562532824685065E-2</v>
      </c>
      <c r="Q48" s="133"/>
      <c r="R48" s="134">
        <f>SUM(P34+P48+P49+P50)/100</f>
        <v>9.9906143041720314E-3</v>
      </c>
      <c r="S48" s="50"/>
      <c r="T48" s="125"/>
      <c r="U48" s="125"/>
      <c r="V48" s="125"/>
      <c r="W48" s="125"/>
      <c r="X48" s="125"/>
    </row>
    <row r="49" spans="1:25" s="1" customFormat="1" ht="15.75" thickBot="1" x14ac:dyDescent="0.3">
      <c r="A49" s="113">
        <v>46</v>
      </c>
      <c r="B49" s="284" t="s">
        <v>143</v>
      </c>
      <c r="C49" s="285"/>
      <c r="D49" s="286"/>
      <c r="E49" s="287"/>
      <c r="F49" s="287"/>
      <c r="G49" s="288">
        <v>820</v>
      </c>
      <c r="H49" s="83"/>
      <c r="I49" s="96">
        <v>0</v>
      </c>
      <c r="J49" s="136"/>
      <c r="K49" s="137"/>
      <c r="L49" s="138"/>
      <c r="M49" s="139"/>
      <c r="N49" s="140"/>
      <c r="O49" s="521" t="s">
        <v>58</v>
      </c>
      <c r="P49" s="523">
        <f>SUM(G49:G50)/G51</f>
        <v>1.8957815630611646E-5</v>
      </c>
      <c r="Q49" s="141"/>
      <c r="R49" s="142"/>
      <c r="S49" s="135"/>
      <c r="T49" s="125"/>
      <c r="U49" s="125"/>
      <c r="V49" s="125"/>
      <c r="W49" s="125"/>
      <c r="X49" s="125"/>
    </row>
    <row r="50" spans="1:25" s="125" customFormat="1" ht="15.75" thickBot="1" x14ac:dyDescent="0.3">
      <c r="A50" s="8">
        <v>47</v>
      </c>
      <c r="B50" s="284" t="s">
        <v>189</v>
      </c>
      <c r="C50" s="285"/>
      <c r="D50" s="286"/>
      <c r="E50" s="287"/>
      <c r="F50" s="287"/>
      <c r="G50" s="288">
        <v>4063.43</v>
      </c>
      <c r="H50" s="83"/>
      <c r="I50" s="62">
        <v>0</v>
      </c>
      <c r="J50" s="144"/>
      <c r="K50" s="145"/>
      <c r="L50" s="146"/>
      <c r="M50" s="147"/>
      <c r="N50" s="148"/>
      <c r="O50" s="522"/>
      <c r="P50" s="524"/>
      <c r="Q50" s="149"/>
      <c r="R50" s="150"/>
      <c r="S50" s="143"/>
      <c r="T50" s="151"/>
      <c r="V50" s="152"/>
      <c r="Y50" s="1"/>
    </row>
    <row r="51" spans="1:25" s="125" customFormat="1" ht="16.5" thickBot="1" x14ac:dyDescent="0.3">
      <c r="A51" s="8"/>
      <c r="B51" s="153" t="s">
        <v>59</v>
      </c>
      <c r="C51" s="154"/>
      <c r="D51" s="155"/>
      <c r="E51" s="156"/>
      <c r="F51" s="156"/>
      <c r="G51" s="157">
        <f>G4+G9+G16+G17+G18+G22+G23+G27+G28+G29+G30+G31+G32+G33+G34+G35+G36+G41+G42+G45+G47+G48</f>
        <v>257594550.72</v>
      </c>
      <c r="H51" s="158">
        <f>G51/$G$51</f>
        <v>1</v>
      </c>
      <c r="I51" s="159"/>
      <c r="J51" s="160"/>
      <c r="K51" s="161"/>
      <c r="L51" s="162"/>
      <c r="M51" s="163"/>
      <c r="N51" s="164"/>
      <c r="O51" s="165"/>
      <c r="P51" s="334">
        <f>SUM(P5+P10+P16+P17+P18+P22+P24+P27+P28+P29+P30+P31+P32+P33+P35+P38+P41+P43+P45+P47+P49)</f>
        <v>0.65893146332315389</v>
      </c>
      <c r="Q51" s="166"/>
      <c r="R51" s="338">
        <f>P34+P48</f>
        <v>0.99904247260157253</v>
      </c>
      <c r="S51" s="167"/>
      <c r="T51" s="151"/>
      <c r="V51" s="152"/>
      <c r="Y51" s="1"/>
    </row>
    <row r="52" spans="1:25" s="125" customFormat="1" x14ac:dyDescent="0.25">
      <c r="A52" s="1"/>
      <c r="B52" s="168" t="str">
        <f>'[3]FFIN2 Junho 2018'!$B$72</f>
        <v>Meta Atuarial(INPC 1,43 + 0,486755)</v>
      </c>
      <c r="C52" s="168"/>
      <c r="D52" s="169"/>
      <c r="E52" s="169">
        <f>'[3]FFIN2 Junho 2018'!$E$72</f>
        <v>1.9199999999999998E-2</v>
      </c>
      <c r="F52" s="169"/>
      <c r="G52" s="168" t="s">
        <v>60</v>
      </c>
      <c r="H52" s="170">
        <f>'[3]FFIN2 Junho 2018'!$H$72</f>
        <v>-5.1999999999999998E-2</v>
      </c>
      <c r="I52" s="171"/>
      <c r="J52" s="168" t="s">
        <v>61</v>
      </c>
      <c r="K52" s="170">
        <f>'[3]FFIN2 Junho 2018'!$K$72</f>
        <v>-4.0099999999999997E-2</v>
      </c>
      <c r="L52" s="171"/>
      <c r="M52" s="172" t="s">
        <v>62</v>
      </c>
      <c r="N52" s="170">
        <f>'[3]FFIN2 Junho 2018'!$N$72</f>
        <v>4.4200000000000001E-4</v>
      </c>
      <c r="O52" s="1"/>
      <c r="P52" s="170" t="s">
        <v>167</v>
      </c>
      <c r="Q52" s="1"/>
      <c r="R52" s="170"/>
      <c r="S52" s="173">
        <v>2.3699999999999999E-2</v>
      </c>
      <c r="Y52" s="1"/>
    </row>
    <row r="53" spans="1:25" s="125" customFormat="1" x14ac:dyDescent="0.25">
      <c r="A53" s="1"/>
      <c r="B53" s="168" t="s">
        <v>169</v>
      </c>
      <c r="C53" s="174"/>
      <c r="D53" s="168"/>
      <c r="E53" s="175">
        <v>2.0000000000000001E-4</v>
      </c>
      <c r="F53" s="170"/>
      <c r="G53" s="168" t="s">
        <v>63</v>
      </c>
      <c r="H53" s="170">
        <f>'[3]FFIN2 Junho 2018'!$H$73</f>
        <v>-5.1999999999999998E-2</v>
      </c>
      <c r="I53" s="168"/>
      <c r="J53" s="168" t="s">
        <v>64</v>
      </c>
      <c r="K53" s="170">
        <f>'[3]FFIN2 Junho 2018'!$K$73</f>
        <v>-3.2009999999999999E-3</v>
      </c>
      <c r="L53" s="170"/>
      <c r="M53" s="172" t="s">
        <v>65</v>
      </c>
      <c r="N53" s="170">
        <f>'[3]FFIN2 Junho 2018'!$N$73</f>
        <v>5.45E-3</v>
      </c>
      <c r="O53" s="1"/>
      <c r="P53" s="178" t="s">
        <v>66</v>
      </c>
      <c r="Q53" s="1"/>
      <c r="R53" s="1"/>
      <c r="S53" s="173">
        <v>5.5500000000000001E-2</v>
      </c>
      <c r="Y53" s="1"/>
    </row>
    <row r="54" spans="1:25" s="125" customFormat="1" x14ac:dyDescent="0.25">
      <c r="A54" s="1"/>
      <c r="B54" s="168" t="s">
        <v>67</v>
      </c>
      <c r="C54" s="1"/>
      <c r="D54" s="170"/>
      <c r="E54" s="170">
        <f>'[3]FFIN2 Junho 2018'!$E$74</f>
        <v>1.43E-2</v>
      </c>
      <c r="F54" s="170"/>
      <c r="G54" s="168" t="s">
        <v>68</v>
      </c>
      <c r="H54" s="170">
        <f>'[3]FFIN2 Junho 2018'!$H$74</f>
        <v>-5.2999999999999999E-2</v>
      </c>
      <c r="I54" s="168"/>
      <c r="J54" s="168" t="s">
        <v>69</v>
      </c>
      <c r="K54" s="170">
        <f>'[3]FFIN2 Junho 2018'!$K$74</f>
        <v>1.199E-3</v>
      </c>
      <c r="L54" s="170"/>
      <c r="M54" s="172" t="s">
        <v>70</v>
      </c>
      <c r="N54" s="170">
        <f>'[3]FFIN2 Junho 2018'!$N$74</f>
        <v>-1.4630000000000001E-3</v>
      </c>
      <c r="O54" s="170"/>
      <c r="P54" s="178" t="s">
        <v>168</v>
      </c>
      <c r="Q54" s="1"/>
      <c r="R54" s="1"/>
      <c r="S54" s="173">
        <v>9.7199999999999995E-2</v>
      </c>
      <c r="T54" s="177"/>
      <c r="Y54" s="1"/>
    </row>
    <row r="55" spans="1:25" s="125" customFormat="1" x14ac:dyDescent="0.25">
      <c r="A55" s="1"/>
      <c r="B55" s="168" t="s">
        <v>54</v>
      </c>
      <c r="C55" s="170"/>
      <c r="D55" s="170"/>
      <c r="E55" s="178">
        <f>'[3]FFIN2 Junho 2018'!$E$75</f>
        <v>5.1999999999999998E-3</v>
      </c>
      <c r="F55" s="178"/>
      <c r="G55" s="168" t="s">
        <v>71</v>
      </c>
      <c r="H55" s="170">
        <f>'[3]FFIN2 Junho 2018'!$H$75</f>
        <v>-3.6600000000000001E-2</v>
      </c>
      <c r="I55" s="168"/>
      <c r="J55" s="168" t="s">
        <v>72</v>
      </c>
      <c r="K55" s="170">
        <f>'[3]FFIN2 Junho 2018'!$K$75</f>
        <v>4.4970000000000001E-3</v>
      </c>
      <c r="L55" s="170"/>
      <c r="M55" s="172" t="s">
        <v>73</v>
      </c>
      <c r="N55" s="170">
        <f>'[3]FFIN2 Junho 2018'!$N$75</f>
        <v>6.8910000000000004E-3</v>
      </c>
      <c r="O55" s="170"/>
      <c r="P55" s="178" t="s">
        <v>74</v>
      </c>
      <c r="Q55" s="1"/>
      <c r="R55" s="1"/>
      <c r="S55" s="173">
        <v>9.69E-2</v>
      </c>
      <c r="Y55" s="1"/>
    </row>
    <row r="56" spans="1:25" s="125" customFormat="1" x14ac:dyDescent="0.25">
      <c r="A56" s="1"/>
      <c r="B56" s="168" t="s">
        <v>45</v>
      </c>
      <c r="C56" s="1"/>
      <c r="D56" s="170"/>
      <c r="E56" s="178">
        <f>'[3]FFIN2 Junho 2018'!$E$76</f>
        <v>1.26E-2</v>
      </c>
      <c r="F56" s="178"/>
      <c r="G56" s="168" t="s">
        <v>52</v>
      </c>
      <c r="H56" s="170">
        <f>'[3]FFIN2 Junho 2018'!$H$76</f>
        <v>-4.3299999999999998E-2</v>
      </c>
      <c r="I56" s="1"/>
      <c r="J56" s="168" t="s">
        <v>75</v>
      </c>
      <c r="K56" s="170">
        <f>'[3]FFIN2 Junho 2018'!$K$76</f>
        <v>-1.0784999999999999E-2</v>
      </c>
      <c r="L56" s="1"/>
      <c r="M56" s="172" t="s">
        <v>76</v>
      </c>
      <c r="N56" s="170">
        <f>'[3]FFIN2 Junho 2018'!$N$76</f>
        <v>5.208E-3</v>
      </c>
      <c r="O56" s="170"/>
      <c r="P56" s="178"/>
      <c r="Q56" s="1"/>
      <c r="R56" s="1"/>
      <c r="S56" s="179">
        <f>G51</f>
        <v>257594550.72</v>
      </c>
      <c r="T56" s="180"/>
      <c r="Y56" s="1"/>
    </row>
    <row r="57" spans="1:25" s="125" customFormat="1" x14ac:dyDescent="0.25">
      <c r="A57" s="1"/>
      <c r="B57" s="1"/>
      <c r="C57" s="1"/>
      <c r="D57" s="1"/>
      <c r="E57" s="1"/>
      <c r="F57" s="1"/>
      <c r="G57" s="168"/>
      <c r="H57" s="170" t="s">
        <v>77</v>
      </c>
      <c r="I57" s="1"/>
      <c r="J57" s="168"/>
      <c r="K57" s="170"/>
      <c r="L57" s="1"/>
      <c r="M57" s="172"/>
      <c r="N57" s="181"/>
      <c r="O57" s="170"/>
      <c r="P57" s="181"/>
      <c r="Q57" s="1"/>
      <c r="R57" s="1"/>
      <c r="S57" s="182">
        <f>'[3]FFIN2 Junho 2018'!$G$71</f>
        <v>766292731.41000009</v>
      </c>
      <c r="Y57" s="1"/>
    </row>
    <row r="58" spans="1:25" s="1" customFormat="1" x14ac:dyDescent="0.25">
      <c r="D58" t="s">
        <v>78</v>
      </c>
      <c r="G58" s="183">
        <f>'[4]Consolidado Junho 2018'!$G$102</f>
        <v>1023887282.1300001</v>
      </c>
      <c r="H58" s="170"/>
      <c r="J58" s="168"/>
      <c r="K58" s="170"/>
      <c r="M58" s="184"/>
      <c r="N58" s="181"/>
      <c r="O58" s="170"/>
      <c r="P58" s="181"/>
      <c r="S58" s="185">
        <f>S56+S57</f>
        <v>1023887282.1300001</v>
      </c>
      <c r="T58" s="125"/>
      <c r="U58" s="125"/>
      <c r="V58" s="125"/>
      <c r="W58" s="125"/>
      <c r="X58" s="125"/>
    </row>
    <row r="59" spans="1:25" s="7" customFormat="1" x14ac:dyDescent="0.25">
      <c r="A59"/>
      <c r="B59"/>
      <c r="C59"/>
      <c r="D59"/>
      <c r="E59"/>
      <c r="F59"/>
      <c r="G59" s="186"/>
      <c r="H59" s="170"/>
      <c r="I59" s="1"/>
      <c r="J59" s="168"/>
      <c r="K59" s="170"/>
      <c r="L59" s="1"/>
      <c r="M59" s="184"/>
      <c r="N59" s="190"/>
      <c r="O59"/>
      <c r="P59" s="190"/>
      <c r="Q59"/>
      <c r="R59"/>
      <c r="S59" s="185"/>
      <c r="Y59"/>
    </row>
    <row r="60" spans="1:25" s="7" customFormat="1" x14ac:dyDescent="0.25">
      <c r="A60"/>
      <c r="B60" s="168"/>
      <c r="C60" s="168"/>
      <c r="D60" s="168"/>
      <c r="E60" s="169"/>
      <c r="F60" s="169"/>
      <c r="G60" s="186"/>
      <c r="H60" s="181"/>
      <c r="I60" s="1"/>
      <c r="J60" s="1"/>
      <c r="K60" s="1"/>
      <c r="L60" s="1"/>
      <c r="M60" s="184"/>
      <c r="N60" s="190"/>
      <c r="O60"/>
      <c r="P60" s="190"/>
      <c r="Q60"/>
      <c r="R60"/>
      <c r="S60"/>
      <c r="Y60"/>
    </row>
    <row r="61" spans="1:25" s="7" customFormat="1" x14ac:dyDescent="0.25">
      <c r="A61"/>
      <c r="B61" s="168"/>
      <c r="C61" s="168"/>
      <c r="D61" s="168"/>
      <c r="E61" s="170"/>
      <c r="F61" s="170"/>
      <c r="G61" s="191"/>
      <c r="H61" s="181"/>
      <c r="I61" s="1"/>
      <c r="J61" s="1"/>
      <c r="K61" s="1"/>
      <c r="L61" s="1"/>
      <c r="M61" s="184"/>
      <c r="N61" s="190"/>
      <c r="O61"/>
      <c r="P61" s="190"/>
      <c r="Q61"/>
      <c r="R61"/>
      <c r="S61"/>
      <c r="Y61"/>
    </row>
    <row r="62" spans="1:25" s="7" customFormat="1" x14ac:dyDescent="0.25">
      <c r="A62"/>
      <c r="B62" s="168"/>
      <c r="C62" s="1"/>
      <c r="D62" s="170"/>
      <c r="E62" s="170"/>
      <c r="F62" s="170"/>
      <c r="G62" s="186"/>
      <c r="H62" s="181"/>
      <c r="I62" s="1"/>
      <c r="J62" s="1"/>
      <c r="K62" s="1"/>
      <c r="L62" s="1"/>
      <c r="M62" s="184"/>
      <c r="N62" s="190"/>
      <c r="O62"/>
      <c r="P62" s="190"/>
      <c r="Q62"/>
      <c r="R62"/>
      <c r="S62"/>
      <c r="Y62"/>
    </row>
    <row r="63" spans="1:25" s="7" customFormat="1" x14ac:dyDescent="0.25">
      <c r="A63"/>
      <c r="B63" s="168"/>
      <c r="C63" s="170"/>
      <c r="D63" s="170"/>
      <c r="E63" s="176"/>
      <c r="F63" s="176"/>
      <c r="G63" s="186"/>
      <c r="H63" s="181"/>
      <c r="I63" s="1"/>
      <c r="J63" s="1"/>
      <c r="K63" s="1"/>
      <c r="L63" s="1"/>
      <c r="M63" s="184" t="s">
        <v>79</v>
      </c>
      <c r="N63" s="190"/>
      <c r="O63"/>
      <c r="P63" s="190"/>
      <c r="Q63"/>
      <c r="R63"/>
      <c r="S63"/>
      <c r="Y63"/>
    </row>
    <row r="64" spans="1:25" s="7" customFormat="1" x14ac:dyDescent="0.25">
      <c r="A64"/>
      <c r="B64" s="168" t="s">
        <v>36</v>
      </c>
      <c r="C64" s="1"/>
      <c r="D64" s="170" t="s">
        <v>80</v>
      </c>
      <c r="E64" s="192">
        <v>1.6000000000000001E-3</v>
      </c>
      <c r="F64" s="1"/>
      <c r="G64" s="186">
        <f>G4+G9+G16+G17+G18+G22+G23+G27+G28+G29+G30+G31+G32+G33</f>
        <v>235822643.77999997</v>
      </c>
      <c r="H64" s="181">
        <f>G64/G67</f>
        <v>0.91547993977688757</v>
      </c>
      <c r="I64" s="1"/>
      <c r="J64" s="1" t="s">
        <v>36</v>
      </c>
      <c r="K64" s="1"/>
      <c r="L64" s="1"/>
      <c r="M64" s="426">
        <f>'[4]Consolidado fevereiro 2018'!$M$104</f>
        <v>838658112.35000002</v>
      </c>
      <c r="N64" s="190">
        <f>M64/M67</f>
        <v>0.81890513514275298</v>
      </c>
      <c r="O64"/>
      <c r="P64" s="190"/>
      <c r="Q64"/>
      <c r="R64"/>
      <c r="S64"/>
      <c r="Y64"/>
    </row>
    <row r="65" spans="1:25" s="7" customFormat="1" x14ac:dyDescent="0.25">
      <c r="A65"/>
      <c r="B65" t="s">
        <v>47</v>
      </c>
      <c r="C65"/>
      <c r="D65" s="170" t="s">
        <v>80</v>
      </c>
      <c r="E65" s="464">
        <v>-1.43E-2</v>
      </c>
      <c r="F65">
        <v>3.71</v>
      </c>
      <c r="G65" s="186">
        <f>G34+G35+G36+G41+G42+G45+G47</f>
        <v>21767023.510000002</v>
      </c>
      <c r="H65" s="181">
        <f>G65/G67</f>
        <v>8.4501102407481876E-2</v>
      </c>
      <c r="I65" s="1"/>
      <c r="J65" s="1" t="s">
        <v>47</v>
      </c>
      <c r="K65" s="1"/>
      <c r="L65" s="1"/>
      <c r="M65" s="426">
        <f>'[4]Consolidado fevereiro 2018'!$M$105</f>
        <v>184803995.55999997</v>
      </c>
      <c r="N65" s="190">
        <f>M65/M67</f>
        <v>0.18045129323905537</v>
      </c>
      <c r="O65"/>
      <c r="P65" s="190"/>
      <c r="Q65"/>
      <c r="R65"/>
      <c r="S65"/>
      <c r="Y65"/>
    </row>
    <row r="66" spans="1:25" s="7" customFormat="1" x14ac:dyDescent="0.25">
      <c r="A66"/>
      <c r="B66" t="s">
        <v>81</v>
      </c>
      <c r="C66"/>
      <c r="D66"/>
      <c r="E66" s="465"/>
      <c r="F66"/>
      <c r="G66" s="186">
        <f>G48</f>
        <v>4883.43</v>
      </c>
      <c r="H66" s="181">
        <f>G66/G67</f>
        <v>1.8957815630611649E-5</v>
      </c>
      <c r="I66" s="1"/>
      <c r="J66" s="1" t="s">
        <v>82</v>
      </c>
      <c r="K66" s="1"/>
      <c r="L66" s="1"/>
      <c r="M66" s="426">
        <f>'[4]Consolidado fevereiro 2018'!$M$106</f>
        <v>659095.34000000008</v>
      </c>
      <c r="N66" s="190">
        <f>M66/M67</f>
        <v>6.4357161819166746E-4</v>
      </c>
      <c r="O66"/>
      <c r="P66" s="190"/>
      <c r="Q66"/>
      <c r="R66"/>
      <c r="S66"/>
      <c r="Y66"/>
    </row>
    <row r="67" spans="1:25" s="7" customFormat="1" x14ac:dyDescent="0.25">
      <c r="A67"/>
      <c r="B67"/>
      <c r="C67"/>
      <c r="D67"/>
      <c r="E67" s="192">
        <v>2.0000000000000001E-4</v>
      </c>
      <c r="F67">
        <v>3.19</v>
      </c>
      <c r="G67" s="186">
        <f>G64+G65+G66</f>
        <v>257594550.71999997</v>
      </c>
      <c r="H67" s="181">
        <f>SUM(H64:H66)</f>
        <v>1</v>
      </c>
      <c r="I67" s="1"/>
      <c r="J67" s="125" t="s">
        <v>83</v>
      </c>
      <c r="K67" s="125"/>
      <c r="L67" s="125"/>
      <c r="M67" s="426">
        <f>M64+M65+M66</f>
        <v>1024121203.25</v>
      </c>
      <c r="N67" s="190">
        <f>N64+N65+N66</f>
        <v>1</v>
      </c>
      <c r="O67"/>
      <c r="P67" s="190"/>
      <c r="Q67"/>
      <c r="R67"/>
      <c r="S67"/>
      <c r="Y67"/>
    </row>
    <row r="68" spans="1:25" s="7" customFormat="1" x14ac:dyDescent="0.25">
      <c r="A68"/>
      <c r="B68"/>
      <c r="C68"/>
      <c r="D68"/>
      <c r="E68" s="195"/>
      <c r="F68"/>
      <c r="G68" s="1"/>
      <c r="H68" s="181"/>
      <c r="I68" s="1"/>
      <c r="J68" s="1"/>
      <c r="K68" s="1"/>
      <c r="L68" s="1"/>
      <c r="M68" s="184"/>
      <c r="N68" s="190"/>
      <c r="O68"/>
      <c r="P68" s="190"/>
      <c r="Q68"/>
      <c r="R68"/>
      <c r="S68"/>
      <c r="Y68"/>
    </row>
    <row r="69" spans="1:25" s="7" customFormat="1" x14ac:dyDescent="0.25">
      <c r="A69"/>
      <c r="B69"/>
      <c r="C69"/>
      <c r="D69"/>
      <c r="E69"/>
      <c r="F69"/>
      <c r="G69" s="1"/>
      <c r="H69" s="181"/>
      <c r="I69" s="1"/>
      <c r="J69" s="1"/>
      <c r="K69" s="1"/>
      <c r="L69" s="1"/>
      <c r="M69" s="184"/>
      <c r="N69" s="190"/>
      <c r="O69"/>
      <c r="P69" s="190"/>
      <c r="Q69"/>
      <c r="R69"/>
      <c r="S69"/>
      <c r="Y69"/>
    </row>
    <row r="70" spans="1:25" s="7" customFormat="1" x14ac:dyDescent="0.25">
      <c r="A70"/>
      <c r="B70"/>
      <c r="C70"/>
      <c r="D70"/>
      <c r="E70"/>
      <c r="F70"/>
      <c r="G70" s="1"/>
      <c r="H70" s="181"/>
      <c r="I70" s="1"/>
      <c r="J70" s="1"/>
      <c r="K70" s="1"/>
      <c r="L70" s="1"/>
      <c r="M70" s="184"/>
      <c r="N70" s="190"/>
      <c r="O70"/>
      <c r="P70" s="190"/>
      <c r="Q70"/>
      <c r="R70"/>
      <c r="S70"/>
      <c r="Y70"/>
    </row>
  </sheetData>
  <mergeCells count="33">
    <mergeCell ref="S5:S8"/>
    <mergeCell ref="P3:R3"/>
    <mergeCell ref="O5:O8"/>
    <mergeCell ref="P5:P8"/>
    <mergeCell ref="Q5:Q8"/>
    <mergeCell ref="R5:R8"/>
    <mergeCell ref="S38:S40"/>
    <mergeCell ref="O10:O15"/>
    <mergeCell ref="P10:P15"/>
    <mergeCell ref="Q10:Q15"/>
    <mergeCell ref="R10:R15"/>
    <mergeCell ref="S10:S15"/>
    <mergeCell ref="O19:O21"/>
    <mergeCell ref="P19:P21"/>
    <mergeCell ref="Q19:Q21"/>
    <mergeCell ref="R19:R21"/>
    <mergeCell ref="S19:S21"/>
    <mergeCell ref="R43:R44"/>
    <mergeCell ref="S43:S44"/>
    <mergeCell ref="O49:O50"/>
    <mergeCell ref="P49:P50"/>
    <mergeCell ref="O24:O26"/>
    <mergeCell ref="P24:P26"/>
    <mergeCell ref="Q24:Q26"/>
    <mergeCell ref="O43:O44"/>
    <mergeCell ref="P43:P44"/>
    <mergeCell ref="Q43:Q44"/>
    <mergeCell ref="R24:R26"/>
    <mergeCell ref="S24:S26"/>
    <mergeCell ref="O38:O40"/>
    <mergeCell ref="P38:P40"/>
    <mergeCell ref="Q38:Q40"/>
    <mergeCell ref="R38:R40"/>
  </mergeCells>
  <printOptions horizontalCentered="1"/>
  <pageMargins left="0" right="0" top="0" bottom="0" header="0.19685039370078741" footer="0.39370078740157483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abSelected="1" topLeftCell="A46" zoomScaleNormal="100" workbookViewId="0">
      <selection activeCell="S57" sqref="S57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140625" bestFit="1" customWidth="1"/>
    <col min="6" max="6" width="6.28515625" customWidth="1"/>
    <col min="7" max="7" width="22.85546875" style="1" bestFit="1" customWidth="1"/>
    <col min="8" max="8" width="11.5703125" style="18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5" style="184" bestFit="1" customWidth="1"/>
    <col min="14" max="14" width="8.140625" style="190" bestFit="1" customWidth="1"/>
    <col min="15" max="15" width="15.5703125" customWidth="1"/>
    <col min="16" max="16" width="8.42578125" style="190" customWidth="1"/>
    <col min="17" max="17" width="5.5703125" customWidth="1"/>
    <col min="18" max="18" width="6.140625" bestFit="1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194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4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326" t="s">
        <v>8</v>
      </c>
      <c r="Q2" s="20"/>
      <c r="R2" s="21"/>
      <c r="S2" s="22" t="s">
        <v>9</v>
      </c>
      <c r="T2" s="7" t="s">
        <v>10</v>
      </c>
    </row>
    <row r="3" spans="1:25" ht="15.75" thickBot="1" x14ac:dyDescent="0.3">
      <c r="A3" s="8"/>
      <c r="B3" s="23"/>
      <c r="C3" s="24"/>
      <c r="D3" s="25"/>
      <c r="E3" s="26"/>
      <c r="F3" s="27"/>
      <c r="G3" s="28" t="s">
        <v>11</v>
      </c>
      <c r="H3" s="29" t="s">
        <v>12</v>
      </c>
      <c r="I3" s="30" t="s">
        <v>13</v>
      </c>
      <c r="J3" s="31" t="s">
        <v>14</v>
      </c>
      <c r="K3" s="32" t="s">
        <v>15</v>
      </c>
      <c r="L3" s="33"/>
      <c r="M3" s="34" t="s">
        <v>16</v>
      </c>
      <c r="N3" s="35" t="s">
        <v>17</v>
      </c>
      <c r="O3" s="36"/>
      <c r="P3" s="548" t="s">
        <v>18</v>
      </c>
      <c r="Q3" s="549"/>
      <c r="R3" s="550"/>
      <c r="S3" s="37" t="s">
        <v>19</v>
      </c>
      <c r="T3" s="38"/>
      <c r="U3" s="38"/>
      <c r="V3" s="38"/>
      <c r="W3" s="38"/>
      <c r="X3" s="38"/>
      <c r="Y3" s="38"/>
    </row>
    <row r="4" spans="1:25" s="52" customFormat="1" ht="12" customHeight="1" thickBot="1" x14ac:dyDescent="0.25">
      <c r="A4" s="39"/>
      <c r="B4" s="224" t="s">
        <v>84</v>
      </c>
      <c r="C4" s="225"/>
      <c r="D4" s="226"/>
      <c r="E4" s="226"/>
      <c r="F4" s="226"/>
      <c r="G4" s="42">
        <f>SUM(G5:G9)</f>
        <v>54297113.900000006</v>
      </c>
      <c r="H4" s="43">
        <f t="shared" ref="H4:H17" si="0">G4/$G$52</f>
        <v>0.20296694056720663</v>
      </c>
      <c r="I4" s="44"/>
      <c r="J4" s="44"/>
      <c r="K4" s="44"/>
      <c r="L4" s="44"/>
      <c r="M4" s="45"/>
      <c r="N4" s="46"/>
      <c r="O4" s="47"/>
      <c r="P4" s="327"/>
      <c r="Q4" s="485"/>
      <c r="R4" s="486"/>
      <c r="S4" s="90"/>
      <c r="T4" s="51"/>
      <c r="U4" s="51"/>
      <c r="V4" s="51"/>
      <c r="W4" s="51"/>
      <c r="X4" s="51"/>
      <c r="Y4" s="51"/>
    </row>
    <row r="5" spans="1:25" s="1" customFormat="1" ht="18" x14ac:dyDescent="0.25">
      <c r="A5" s="8"/>
      <c r="B5" s="251" t="s">
        <v>121</v>
      </c>
      <c r="C5" s="54" t="s">
        <v>20</v>
      </c>
      <c r="D5" s="55" t="s">
        <v>116</v>
      </c>
      <c r="E5" s="55"/>
      <c r="F5" s="55"/>
      <c r="G5" s="383">
        <v>12938508</v>
      </c>
      <c r="H5" s="64">
        <f t="shared" si="0"/>
        <v>4.8365174419783059E-2</v>
      </c>
      <c r="I5" s="416">
        <v>6.7999999999999996E-3</v>
      </c>
      <c r="J5" s="247" t="s">
        <v>21</v>
      </c>
      <c r="K5" s="247"/>
      <c r="L5" s="252"/>
      <c r="M5" s="98"/>
      <c r="N5" s="253"/>
      <c r="O5" s="551" t="s">
        <v>147</v>
      </c>
      <c r="P5" s="557">
        <f>SUM(G5:G9)/G52</f>
        <v>0.20296694056720663</v>
      </c>
      <c r="Q5" s="510">
        <v>1</v>
      </c>
      <c r="R5" s="542">
        <v>0.4</v>
      </c>
      <c r="S5" s="545" t="s">
        <v>148</v>
      </c>
      <c r="T5" s="57"/>
      <c r="U5" s="57"/>
      <c r="V5" s="56"/>
      <c r="W5" s="57"/>
      <c r="X5" s="57"/>
      <c r="Y5" s="69"/>
    </row>
    <row r="6" spans="1:25" s="1" customFormat="1" ht="18.75" thickBot="1" x14ac:dyDescent="0.3">
      <c r="A6" s="8"/>
      <c r="B6" s="249" t="s">
        <v>121</v>
      </c>
      <c r="C6" s="59" t="s">
        <v>20</v>
      </c>
      <c r="D6" s="60" t="s">
        <v>117</v>
      </c>
      <c r="E6" s="65"/>
      <c r="F6" s="65"/>
      <c r="G6" s="427">
        <v>6518766.0700000003</v>
      </c>
      <c r="H6" s="120">
        <f t="shared" si="0"/>
        <v>2.4367667274875417E-2</v>
      </c>
      <c r="I6" s="405">
        <v>2.12E-2</v>
      </c>
      <c r="J6" s="241" t="s">
        <v>22</v>
      </c>
      <c r="K6" s="242"/>
      <c r="L6" s="243"/>
      <c r="M6" s="488">
        <v>2.0961E-2</v>
      </c>
      <c r="N6" s="63"/>
      <c r="O6" s="552"/>
      <c r="P6" s="558"/>
      <c r="Q6" s="511"/>
      <c r="R6" s="543"/>
      <c r="S6" s="546"/>
      <c r="T6" s="57"/>
      <c r="U6" s="57"/>
      <c r="V6" s="56"/>
      <c r="W6" s="57"/>
      <c r="X6" s="57"/>
      <c r="Y6" s="69"/>
    </row>
    <row r="7" spans="1:25" s="1" customFormat="1" ht="18.75" thickBot="1" x14ac:dyDescent="0.3">
      <c r="A7" s="8"/>
      <c r="B7" s="249" t="s">
        <v>121</v>
      </c>
      <c r="C7" s="59" t="s">
        <v>20</v>
      </c>
      <c r="D7" s="60" t="s">
        <v>118</v>
      </c>
      <c r="E7" s="65"/>
      <c r="F7" s="65"/>
      <c r="G7" s="411">
        <v>11248083.779999999</v>
      </c>
      <c r="H7" s="61">
        <f t="shared" si="0"/>
        <v>4.2046233917236261E-2</v>
      </c>
      <c r="I7" s="412">
        <v>2.3400000000000001E-2</v>
      </c>
      <c r="J7" s="244" t="s">
        <v>119</v>
      </c>
      <c r="K7" s="242"/>
      <c r="L7" s="248"/>
      <c r="M7" s="98"/>
      <c r="N7" s="63"/>
      <c r="O7" s="552"/>
      <c r="P7" s="558"/>
      <c r="Q7" s="511"/>
      <c r="R7" s="543"/>
      <c r="S7" s="546"/>
      <c r="T7" s="57"/>
      <c r="U7" s="57"/>
      <c r="V7" s="56"/>
      <c r="W7" s="57"/>
      <c r="X7" s="57"/>
      <c r="Y7" s="69"/>
    </row>
    <row r="8" spans="1:25" s="1" customFormat="1" ht="18.75" thickBot="1" x14ac:dyDescent="0.3">
      <c r="A8" s="8"/>
      <c r="B8" s="249" t="s">
        <v>121</v>
      </c>
      <c r="C8" s="59"/>
      <c r="D8" s="60" t="s">
        <v>196</v>
      </c>
      <c r="E8" s="65"/>
      <c r="F8" s="65"/>
      <c r="G8" s="427">
        <v>13106531.140000001</v>
      </c>
      <c r="H8" s="61">
        <f t="shared" si="0"/>
        <v>4.8993258312660021E-2</v>
      </c>
      <c r="I8" s="489">
        <v>1.4E-3</v>
      </c>
      <c r="J8" s="244" t="s">
        <v>195</v>
      </c>
      <c r="K8" s="242"/>
      <c r="L8" s="243"/>
      <c r="M8" s="98"/>
      <c r="N8" s="63"/>
      <c r="O8" s="552"/>
      <c r="P8" s="558"/>
      <c r="Q8" s="511"/>
      <c r="R8" s="543"/>
      <c r="S8" s="546"/>
      <c r="T8" s="57"/>
      <c r="U8" s="57"/>
      <c r="V8" s="56"/>
      <c r="W8" s="57"/>
      <c r="X8" s="57"/>
      <c r="Y8" s="69"/>
    </row>
    <row r="9" spans="1:25" s="1" customFormat="1" ht="18.75" thickBot="1" x14ac:dyDescent="0.3">
      <c r="A9" s="8"/>
      <c r="B9" s="250" t="s">
        <v>122</v>
      </c>
      <c r="C9" s="59" t="s">
        <v>20</v>
      </c>
      <c r="D9" s="67" t="s">
        <v>120</v>
      </c>
      <c r="E9" s="67"/>
      <c r="F9" s="67"/>
      <c r="G9" s="417">
        <v>10485224.91</v>
      </c>
      <c r="H9" s="121">
        <f t="shared" si="0"/>
        <v>3.9194606642651855E-2</v>
      </c>
      <c r="I9" s="380">
        <v>2.7E-2</v>
      </c>
      <c r="J9" s="245" t="s">
        <v>23</v>
      </c>
      <c r="K9" s="245"/>
      <c r="L9" s="246"/>
      <c r="M9" s="106"/>
      <c r="N9" s="63"/>
      <c r="O9" s="553"/>
      <c r="P9" s="559"/>
      <c r="Q9" s="512"/>
      <c r="R9" s="544"/>
      <c r="S9" s="547"/>
      <c r="T9" s="57"/>
      <c r="U9" s="57"/>
      <c r="V9" s="56"/>
      <c r="W9" s="57"/>
      <c r="X9" s="57"/>
      <c r="Y9" s="69"/>
    </row>
    <row r="10" spans="1:25" s="52" customFormat="1" ht="16.5" thickBot="1" x14ac:dyDescent="0.25">
      <c r="A10" s="39"/>
      <c r="B10" s="224" t="s">
        <v>85</v>
      </c>
      <c r="C10" s="225"/>
      <c r="D10" s="226"/>
      <c r="E10" s="226"/>
      <c r="F10" s="226"/>
      <c r="G10" s="42">
        <f>SUM(G11:G17)</f>
        <v>151560192.08000001</v>
      </c>
      <c r="H10" s="83">
        <f t="shared" si="0"/>
        <v>0.56654408105208298</v>
      </c>
      <c r="I10" s="70"/>
      <c r="J10" s="71"/>
      <c r="K10" s="44"/>
      <c r="L10" s="44"/>
      <c r="M10" s="87"/>
      <c r="N10" s="254"/>
      <c r="O10" s="47"/>
      <c r="P10" s="487"/>
      <c r="Q10" s="481"/>
      <c r="R10" s="482"/>
      <c r="S10" s="484"/>
      <c r="T10" s="51"/>
      <c r="U10" s="51"/>
      <c r="V10" s="51"/>
      <c r="W10" s="51"/>
      <c r="X10" s="51"/>
      <c r="Y10" s="51"/>
    </row>
    <row r="11" spans="1:25" s="52" customFormat="1" ht="18.75" thickBot="1" x14ac:dyDescent="0.3">
      <c r="A11" s="39"/>
      <c r="B11" s="388" t="s">
        <v>172</v>
      </c>
      <c r="C11" s="75" t="s">
        <v>24</v>
      </c>
      <c r="D11" s="389" t="s">
        <v>173</v>
      </c>
      <c r="E11" s="390" t="s">
        <v>25</v>
      </c>
      <c r="F11" s="390" t="s">
        <v>26</v>
      </c>
      <c r="G11" s="402">
        <v>25412975.780000001</v>
      </c>
      <c r="H11" s="396">
        <f t="shared" si="0"/>
        <v>9.4995729501842291E-2</v>
      </c>
      <c r="I11" s="392">
        <v>1.46E-2</v>
      </c>
      <c r="J11" s="313"/>
      <c r="K11" s="438"/>
      <c r="L11" s="440" t="s">
        <v>27</v>
      </c>
      <c r="M11" s="443">
        <v>1191348011.53</v>
      </c>
      <c r="N11" s="395">
        <f t="shared" ref="N11:N13" si="1">G11/M11</f>
        <v>2.133127812700434E-2</v>
      </c>
      <c r="O11" s="536" t="s">
        <v>28</v>
      </c>
      <c r="P11" s="507">
        <f>SUM(G13:G16)/G52</f>
        <v>0.41632512766744056</v>
      </c>
      <c r="Q11" s="542">
        <v>1</v>
      </c>
      <c r="R11" s="513">
        <v>0.5</v>
      </c>
      <c r="S11" s="533" t="s">
        <v>146</v>
      </c>
      <c r="T11" s="51"/>
      <c r="U11" s="51"/>
      <c r="V11" s="51"/>
      <c r="W11" s="51"/>
      <c r="X11" s="51"/>
      <c r="Y11" s="51"/>
    </row>
    <row r="12" spans="1:25" s="52" customFormat="1" ht="18" x14ac:dyDescent="0.25">
      <c r="A12" s="39"/>
      <c r="B12" s="76" t="s">
        <v>172</v>
      </c>
      <c r="C12" s="75" t="s">
        <v>177</v>
      </c>
      <c r="D12" s="65" t="s">
        <v>178</v>
      </c>
      <c r="E12" s="117" t="s">
        <v>25</v>
      </c>
      <c r="F12" s="82" t="s">
        <v>26</v>
      </c>
      <c r="G12" s="411">
        <v>10014404.470000001</v>
      </c>
      <c r="H12" s="64">
        <f t="shared" si="0"/>
        <v>3.7434642302018532E-2</v>
      </c>
      <c r="I12" s="416">
        <v>1.4999999999999999E-2</v>
      </c>
      <c r="J12" s="277"/>
      <c r="K12" s="439"/>
      <c r="L12" s="441" t="s">
        <v>27</v>
      </c>
      <c r="M12" s="442">
        <v>1927127997.78</v>
      </c>
      <c r="N12" s="401">
        <f t="shared" si="1"/>
        <v>5.1965434997241116E-3</v>
      </c>
      <c r="O12" s="537"/>
      <c r="P12" s="508"/>
      <c r="Q12" s="543"/>
      <c r="R12" s="514"/>
      <c r="S12" s="534"/>
      <c r="T12" s="51"/>
      <c r="U12" s="51"/>
      <c r="V12" s="51"/>
      <c r="W12" s="51"/>
      <c r="X12" s="51"/>
      <c r="Y12" s="51"/>
    </row>
    <row r="13" spans="1:25" s="1" customFormat="1" ht="15.75" customHeight="1" thickBot="1" x14ac:dyDescent="0.3">
      <c r="A13" s="8"/>
      <c r="B13" s="76" t="s">
        <v>123</v>
      </c>
      <c r="C13" s="77" t="s">
        <v>29</v>
      </c>
      <c r="D13" s="55" t="s">
        <v>30</v>
      </c>
      <c r="E13" s="78" t="s">
        <v>25</v>
      </c>
      <c r="F13" s="79" t="s">
        <v>26</v>
      </c>
      <c r="G13" s="383">
        <v>14964210.08</v>
      </c>
      <c r="H13" s="64">
        <f t="shared" si="0"/>
        <v>5.5937410292861887E-2</v>
      </c>
      <c r="I13" s="378">
        <v>1.4831E-2</v>
      </c>
      <c r="J13" s="80"/>
      <c r="K13" s="255"/>
      <c r="L13" s="123" t="s">
        <v>31</v>
      </c>
      <c r="M13" s="408">
        <v>5447124355.3299999</v>
      </c>
      <c r="N13" s="400">
        <f t="shared" si="1"/>
        <v>2.7471761435660176E-3</v>
      </c>
      <c r="O13" s="537"/>
      <c r="P13" s="508"/>
      <c r="Q13" s="543"/>
      <c r="R13" s="514"/>
      <c r="S13" s="534"/>
      <c r="T13" s="57"/>
      <c r="U13" s="57"/>
      <c r="V13" s="56"/>
      <c r="W13" s="57"/>
      <c r="X13" s="57"/>
      <c r="Y13" s="69"/>
    </row>
    <row r="14" spans="1:25" s="1" customFormat="1" ht="15.75" customHeight="1" thickBot="1" x14ac:dyDescent="0.3">
      <c r="A14" s="8"/>
      <c r="B14" s="76" t="s">
        <v>140</v>
      </c>
      <c r="C14" s="77" t="s">
        <v>29</v>
      </c>
      <c r="D14" s="55" t="s">
        <v>37</v>
      </c>
      <c r="E14" s="79" t="s">
        <v>25</v>
      </c>
      <c r="F14" s="117" t="s">
        <v>26</v>
      </c>
      <c r="G14" s="383">
        <v>20213360.93</v>
      </c>
      <c r="H14" s="97">
        <f t="shared" si="0"/>
        <v>7.5559154655967936E-2</v>
      </c>
      <c r="I14" s="378">
        <v>1.4585000000000001E-2</v>
      </c>
      <c r="J14" s="80"/>
      <c r="K14" s="255"/>
      <c r="L14" s="259" t="s">
        <v>34</v>
      </c>
      <c r="M14" s="408">
        <v>2278192713.8699999</v>
      </c>
      <c r="N14" s="400">
        <f>G14/M14</f>
        <v>8.8725421721076708E-3</v>
      </c>
      <c r="O14" s="537"/>
      <c r="P14" s="508"/>
      <c r="Q14" s="543"/>
      <c r="R14" s="514"/>
      <c r="S14" s="534"/>
      <c r="T14" s="57"/>
      <c r="U14" s="57"/>
      <c r="V14" s="56"/>
      <c r="W14" s="57"/>
      <c r="X14" s="57"/>
      <c r="Y14" s="69"/>
    </row>
    <row r="15" spans="1:25" s="1" customFormat="1" ht="18.75" thickBot="1" x14ac:dyDescent="0.3">
      <c r="A15" s="8"/>
      <c r="B15" s="84" t="s">
        <v>124</v>
      </c>
      <c r="C15" s="67" t="s">
        <v>33</v>
      </c>
      <c r="D15" s="60" t="s">
        <v>35</v>
      </c>
      <c r="E15" s="82" t="s">
        <v>25</v>
      </c>
      <c r="F15" s="82" t="s">
        <v>25</v>
      </c>
      <c r="G15" s="411">
        <v>33196021.649999999</v>
      </c>
      <c r="H15" s="64">
        <f t="shared" si="0"/>
        <v>0.1240893754631635</v>
      </c>
      <c r="I15" s="412">
        <v>1.5878E-2</v>
      </c>
      <c r="J15" s="257"/>
      <c r="K15" s="258"/>
      <c r="L15" s="259" t="s">
        <v>34</v>
      </c>
      <c r="M15" s="409">
        <v>2432051278.1199999</v>
      </c>
      <c r="N15" s="399">
        <f>G15/M15</f>
        <v>1.3649392160703476E-2</v>
      </c>
      <c r="O15" s="537"/>
      <c r="P15" s="508"/>
      <c r="Q15" s="543"/>
      <c r="R15" s="514"/>
      <c r="S15" s="534"/>
      <c r="T15" s="57"/>
      <c r="U15" s="57"/>
      <c r="V15" s="56"/>
      <c r="W15" s="57"/>
      <c r="X15" s="57"/>
      <c r="Y15" s="69"/>
    </row>
    <row r="16" spans="1:25" s="1" customFormat="1" ht="18" x14ac:dyDescent="0.25">
      <c r="A16" s="8"/>
      <c r="B16" s="53" t="s">
        <v>124</v>
      </c>
      <c r="C16" s="118" t="s">
        <v>33</v>
      </c>
      <c r="D16" s="65" t="s">
        <v>125</v>
      </c>
      <c r="E16" s="82" t="s">
        <v>25</v>
      </c>
      <c r="F16" s="82" t="s">
        <v>25</v>
      </c>
      <c r="G16" s="411">
        <v>43000470.590000004</v>
      </c>
      <c r="H16" s="397">
        <f t="shared" si="0"/>
        <v>0.16073918725544722</v>
      </c>
      <c r="I16" s="412">
        <v>1.4619E-2</v>
      </c>
      <c r="J16" s="86"/>
      <c r="K16" s="261"/>
      <c r="L16" s="259" t="s">
        <v>34</v>
      </c>
      <c r="M16" s="410">
        <v>7322766489.3900003</v>
      </c>
      <c r="N16" s="399">
        <f>G16/M16</f>
        <v>5.8721619284601853E-3</v>
      </c>
      <c r="O16" s="537"/>
      <c r="P16" s="508"/>
      <c r="Q16" s="543"/>
      <c r="R16" s="514"/>
      <c r="S16" s="534"/>
      <c r="T16" s="57"/>
      <c r="U16" s="57"/>
      <c r="V16" s="56"/>
      <c r="W16" s="57"/>
      <c r="X16" s="57"/>
      <c r="Y16" s="69"/>
    </row>
    <row r="17" spans="1:25" s="1" customFormat="1" ht="18.75" thickBot="1" x14ac:dyDescent="0.3">
      <c r="A17" s="8">
        <v>12</v>
      </c>
      <c r="B17" s="452" t="s">
        <v>139</v>
      </c>
      <c r="C17" s="66" t="s">
        <v>48</v>
      </c>
      <c r="D17" s="461" t="s">
        <v>187</v>
      </c>
      <c r="E17" s="79" t="s">
        <v>25</v>
      </c>
      <c r="F17" s="79" t="s">
        <v>26</v>
      </c>
      <c r="G17" s="385">
        <v>4758748.58</v>
      </c>
      <c r="H17" s="64">
        <f t="shared" si="0"/>
        <v>1.778858158078157E-2</v>
      </c>
      <c r="I17" s="386">
        <v>2.0500000000000001E-2</v>
      </c>
      <c r="J17" s="277"/>
      <c r="K17" s="269"/>
      <c r="L17" s="259" t="s">
        <v>34</v>
      </c>
      <c r="M17" s="387">
        <v>266675055.75</v>
      </c>
      <c r="N17" s="61">
        <f t="shared" ref="N17" si="2">G17/M17</f>
        <v>1.7844745796026705E-2</v>
      </c>
      <c r="O17" s="538"/>
      <c r="P17" s="509"/>
      <c r="Q17" s="544"/>
      <c r="R17" s="515"/>
      <c r="S17" s="535"/>
      <c r="T17" s="57"/>
      <c r="U17" s="57"/>
      <c r="V17" s="56"/>
      <c r="W17" s="57"/>
      <c r="X17" s="57"/>
      <c r="Y17" s="69"/>
    </row>
    <row r="18" spans="1:25" s="1" customFormat="1" ht="16.5" thickBot="1" x14ac:dyDescent="0.3">
      <c r="A18" s="113"/>
      <c r="B18" s="227" t="s">
        <v>91</v>
      </c>
      <c r="C18" s="228"/>
      <c r="D18" s="229"/>
      <c r="E18" s="230"/>
      <c r="F18" s="230"/>
      <c r="G18" s="214"/>
      <c r="H18" s="43"/>
      <c r="I18" s="43"/>
      <c r="J18" s="43"/>
      <c r="K18" s="206"/>
      <c r="L18" s="210"/>
      <c r="M18" s="202"/>
      <c r="N18" s="115"/>
      <c r="O18" s="203" t="s">
        <v>28</v>
      </c>
      <c r="P18" s="329">
        <v>0</v>
      </c>
      <c r="Q18" s="108">
        <v>1</v>
      </c>
      <c r="R18" s="74">
        <v>0</v>
      </c>
      <c r="S18" s="483" t="s">
        <v>86</v>
      </c>
      <c r="T18" s="57"/>
      <c r="U18" s="57"/>
      <c r="V18" s="56"/>
      <c r="W18" s="57"/>
      <c r="X18" s="57"/>
      <c r="Y18" s="69"/>
    </row>
    <row r="19" spans="1:25" s="1" customFormat="1" ht="16.5" thickBot="1" x14ac:dyDescent="0.3">
      <c r="A19" s="113"/>
      <c r="B19" s="227" t="s">
        <v>87</v>
      </c>
      <c r="C19" s="228"/>
      <c r="D19" s="231"/>
      <c r="E19" s="232"/>
      <c r="F19" s="232"/>
      <c r="G19" s="215"/>
      <c r="H19" s="43"/>
      <c r="I19" s="83"/>
      <c r="J19" s="83"/>
      <c r="K19" s="119"/>
      <c r="L19" s="81"/>
      <c r="M19" s="98"/>
      <c r="N19" s="115"/>
      <c r="O19" s="209" t="s">
        <v>28</v>
      </c>
      <c r="P19" s="330">
        <v>0</v>
      </c>
      <c r="Q19" s="107">
        <v>0.05</v>
      </c>
      <c r="R19" s="108">
        <v>0</v>
      </c>
      <c r="S19" s="109" t="s">
        <v>88</v>
      </c>
      <c r="T19" s="57"/>
      <c r="U19" s="57"/>
      <c r="V19" s="56"/>
      <c r="W19" s="57"/>
      <c r="X19" s="57"/>
      <c r="Y19" s="69"/>
    </row>
    <row r="20" spans="1:25" s="52" customFormat="1" ht="16.5" thickBot="1" x14ac:dyDescent="0.25">
      <c r="A20" s="39"/>
      <c r="B20" s="224" t="s">
        <v>89</v>
      </c>
      <c r="C20" s="225"/>
      <c r="D20" s="226"/>
      <c r="E20" s="226"/>
      <c r="F20" s="226"/>
      <c r="G20" s="42">
        <f>SUM(G21:G21)</f>
        <v>21439488.98</v>
      </c>
      <c r="H20" s="43">
        <f>G20/$G$52</f>
        <v>8.0142519059285419E-2</v>
      </c>
      <c r="I20" s="70"/>
      <c r="J20" s="44"/>
      <c r="K20" s="44"/>
      <c r="L20" s="211"/>
      <c r="M20" s="87"/>
      <c r="N20" s="254"/>
      <c r="O20" s="94"/>
      <c r="P20" s="331">
        <v>0</v>
      </c>
      <c r="Q20" s="485"/>
      <c r="R20" s="213"/>
      <c r="S20" s="90"/>
      <c r="T20" s="51"/>
      <c r="U20" s="51"/>
      <c r="V20" s="51"/>
      <c r="W20" s="51"/>
      <c r="X20" s="51"/>
      <c r="Y20" s="51"/>
    </row>
    <row r="21" spans="1:25" s="52" customFormat="1" ht="18.75" thickBot="1" x14ac:dyDescent="0.3">
      <c r="A21" s="39"/>
      <c r="B21" s="53" t="s">
        <v>127</v>
      </c>
      <c r="C21" s="118" t="s">
        <v>128</v>
      </c>
      <c r="D21" s="65" t="s">
        <v>129</v>
      </c>
      <c r="E21" s="79" t="s">
        <v>25</v>
      </c>
      <c r="F21" s="79" t="s">
        <v>25</v>
      </c>
      <c r="G21" s="411">
        <v>21439488.98</v>
      </c>
      <c r="H21" s="97">
        <f>G21/$G$52</f>
        <v>8.0142519059285419E-2</v>
      </c>
      <c r="I21" s="494">
        <v>2.2939999999999999E-2</v>
      </c>
      <c r="J21" s="367"/>
      <c r="K21" s="261"/>
      <c r="L21" s="259" t="s">
        <v>27</v>
      </c>
      <c r="M21" s="384">
        <v>1819137882.8299999</v>
      </c>
      <c r="N21" s="400">
        <f>G21/M21</f>
        <v>1.1785521692642107E-2</v>
      </c>
      <c r="O21" s="492"/>
      <c r="P21" s="493"/>
      <c r="Q21" s="490"/>
      <c r="R21" s="490"/>
      <c r="S21" s="491"/>
      <c r="T21" s="51"/>
      <c r="U21" s="51"/>
      <c r="V21" s="51"/>
      <c r="W21" s="51"/>
      <c r="X21" s="51"/>
      <c r="Y21" s="51"/>
    </row>
    <row r="22" spans="1:25" s="1" customFormat="1" ht="16.5" thickBot="1" x14ac:dyDescent="0.3">
      <c r="A22" s="8"/>
      <c r="B22" s="233" t="s">
        <v>96</v>
      </c>
      <c r="C22" s="228"/>
      <c r="D22" s="234"/>
      <c r="E22" s="230"/>
      <c r="F22" s="230"/>
      <c r="G22" s="214"/>
      <c r="H22" s="218"/>
      <c r="I22" s="124"/>
      <c r="J22" s="43"/>
      <c r="K22" s="219"/>
      <c r="L22" s="317"/>
      <c r="M22" s="220"/>
      <c r="N22" s="43"/>
      <c r="O22" s="212" t="s">
        <v>90</v>
      </c>
      <c r="P22" s="330">
        <v>0</v>
      </c>
      <c r="Q22" s="108">
        <v>0.6</v>
      </c>
      <c r="R22" s="108">
        <v>0</v>
      </c>
      <c r="S22" s="207" t="s">
        <v>95</v>
      </c>
      <c r="T22" s="93"/>
      <c r="U22" s="57"/>
      <c r="V22" s="56"/>
      <c r="W22" s="56"/>
      <c r="X22" s="56"/>
      <c r="Y22" s="58"/>
    </row>
    <row r="23" spans="1:25" s="52" customFormat="1" ht="16.5" thickBot="1" x14ac:dyDescent="0.25">
      <c r="A23" s="39"/>
      <c r="B23" s="224" t="s">
        <v>92</v>
      </c>
      <c r="C23" s="225"/>
      <c r="D23" s="226"/>
      <c r="E23" s="226"/>
      <c r="F23" s="226"/>
      <c r="G23" s="221">
        <f>SUM(G24:G27)</f>
        <v>17492797.949999999</v>
      </c>
      <c r="H23" s="124">
        <f>G23/$G$52</f>
        <v>6.5389473341267296E-2</v>
      </c>
      <c r="I23" s="217"/>
      <c r="J23" s="44"/>
      <c r="K23" s="102"/>
      <c r="L23" s="44"/>
      <c r="M23" s="87"/>
      <c r="N23" s="88"/>
      <c r="O23" s="41"/>
      <c r="P23" s="332"/>
      <c r="Q23" s="485"/>
      <c r="R23" s="486"/>
      <c r="S23" s="94"/>
      <c r="T23" s="51"/>
      <c r="U23" s="51"/>
      <c r="V23" s="51"/>
      <c r="W23" s="51"/>
      <c r="X23" s="51"/>
      <c r="Y23" s="51"/>
    </row>
    <row r="24" spans="1:25" s="1" customFormat="1" ht="18" x14ac:dyDescent="0.25">
      <c r="A24" s="8"/>
      <c r="B24" s="53" t="s">
        <v>197</v>
      </c>
      <c r="C24" s="91" t="s">
        <v>40</v>
      </c>
      <c r="D24" s="60" t="s">
        <v>41</v>
      </c>
      <c r="E24" s="85" t="s">
        <v>42</v>
      </c>
      <c r="F24" s="85" t="s">
        <v>42</v>
      </c>
      <c r="G24" s="404">
        <v>1381.04</v>
      </c>
      <c r="H24" s="95">
        <f>G24/$G$52</f>
        <v>5.1624376226916738E-6</v>
      </c>
      <c r="I24" s="405">
        <v>5.3E-3</v>
      </c>
      <c r="J24" s="277"/>
      <c r="K24" s="269"/>
      <c r="L24" s="259" t="s">
        <v>43</v>
      </c>
      <c r="M24" s="406">
        <v>6791040417.9399996</v>
      </c>
      <c r="N24" s="399">
        <f>G24/M24</f>
        <v>2.0336206457433012E-7</v>
      </c>
      <c r="O24" s="504" t="s">
        <v>36</v>
      </c>
      <c r="P24" s="527">
        <f>SUM(G24:G27)/G52</f>
        <v>6.5389473341267296E-2</v>
      </c>
      <c r="Q24" s="530">
        <v>0.4</v>
      </c>
      <c r="R24" s="530">
        <v>0.3</v>
      </c>
      <c r="S24" s="533" t="s">
        <v>149</v>
      </c>
      <c r="T24" s="57"/>
      <c r="U24" s="57"/>
      <c r="V24" s="56"/>
      <c r="W24" s="57"/>
      <c r="X24" s="57"/>
      <c r="Y24" s="69"/>
    </row>
    <row r="25" spans="1:25" s="1" customFormat="1" ht="18.75" thickBot="1" x14ac:dyDescent="0.3">
      <c r="A25" s="8"/>
      <c r="B25" s="53" t="s">
        <v>126</v>
      </c>
      <c r="C25" s="91" t="s">
        <v>38</v>
      </c>
      <c r="D25" s="92" t="s">
        <v>39</v>
      </c>
      <c r="E25" s="78" t="s">
        <v>25</v>
      </c>
      <c r="F25" s="78" t="s">
        <v>26</v>
      </c>
      <c r="G25" s="383">
        <v>8822144.0299999993</v>
      </c>
      <c r="H25" s="97">
        <f>G25/$G$52</f>
        <v>3.2977877724958533E-2</v>
      </c>
      <c r="I25" s="378">
        <v>1.4999999999999999E-2</v>
      </c>
      <c r="J25" s="80"/>
      <c r="K25" s="271"/>
      <c r="L25" s="272" t="s">
        <v>34</v>
      </c>
      <c r="M25" s="384">
        <v>541139680.02999997</v>
      </c>
      <c r="N25" s="400">
        <f>G25/M25</f>
        <v>1.6302896194030556E-2</v>
      </c>
      <c r="O25" s="505"/>
      <c r="P25" s="528"/>
      <c r="Q25" s="531"/>
      <c r="R25" s="531"/>
      <c r="S25" s="534"/>
      <c r="T25" s="57"/>
      <c r="U25" s="57"/>
      <c r="V25" s="56"/>
      <c r="W25" s="57"/>
      <c r="X25" s="57"/>
      <c r="Y25" s="69"/>
    </row>
    <row r="26" spans="1:25" s="1" customFormat="1" ht="18.75" thickBot="1" x14ac:dyDescent="0.3">
      <c r="A26" s="8"/>
      <c r="B26" s="53" t="s">
        <v>130</v>
      </c>
      <c r="C26" s="75" t="s">
        <v>24</v>
      </c>
      <c r="D26" s="60" t="s">
        <v>44</v>
      </c>
      <c r="E26" s="85" t="s">
        <v>25</v>
      </c>
      <c r="F26" s="85" t="s">
        <v>26</v>
      </c>
      <c r="G26" s="377">
        <v>8669272.8800000008</v>
      </c>
      <c r="H26" s="95">
        <f>G26/$G$52</f>
        <v>3.2406433178686064E-2</v>
      </c>
      <c r="I26" s="416">
        <v>5.7000000000000002E-3</v>
      </c>
      <c r="J26" s="80"/>
      <c r="K26" s="258"/>
      <c r="L26" s="259" t="s">
        <v>45</v>
      </c>
      <c r="M26" s="414">
        <v>1394012894.54</v>
      </c>
      <c r="N26" s="399">
        <f t="shared" ref="N26:N27" si="3">G26/M26</f>
        <v>6.2189330629260145E-3</v>
      </c>
      <c r="O26" s="505"/>
      <c r="P26" s="528"/>
      <c r="Q26" s="531"/>
      <c r="R26" s="531"/>
      <c r="S26" s="534"/>
      <c r="T26" s="57"/>
      <c r="U26" s="57"/>
      <c r="V26" s="56"/>
      <c r="W26" s="57"/>
      <c r="X26" s="57"/>
      <c r="Y26" s="69"/>
    </row>
    <row r="27" spans="1:25" s="1" customFormat="1" ht="18.75" thickBot="1" x14ac:dyDescent="0.3">
      <c r="A27" s="8">
        <v>23</v>
      </c>
      <c r="B27" s="53" t="s">
        <v>131</v>
      </c>
      <c r="C27" s="75" t="s">
        <v>132</v>
      </c>
      <c r="D27" s="60" t="s">
        <v>182</v>
      </c>
      <c r="E27" s="85" t="s">
        <v>25</v>
      </c>
      <c r="F27" s="85" t="s">
        <v>25</v>
      </c>
      <c r="G27" s="404">
        <v>0</v>
      </c>
      <c r="H27" s="95">
        <f>G27/$G$52</f>
        <v>0</v>
      </c>
      <c r="I27" s="412">
        <v>0</v>
      </c>
      <c r="J27" s="86"/>
      <c r="K27" s="258"/>
      <c r="L27" s="315" t="s">
        <v>43</v>
      </c>
      <c r="M27" s="415">
        <v>10845925063.57</v>
      </c>
      <c r="N27" s="401">
        <f t="shared" si="3"/>
        <v>0</v>
      </c>
      <c r="O27" s="506"/>
      <c r="P27" s="529"/>
      <c r="Q27" s="532"/>
      <c r="R27" s="532"/>
      <c r="S27" s="535"/>
      <c r="T27" s="57"/>
      <c r="U27" s="57"/>
      <c r="V27" s="56"/>
      <c r="W27" s="57"/>
      <c r="X27" s="57"/>
      <c r="Y27" s="69"/>
    </row>
    <row r="28" spans="1:25" s="1" customFormat="1" ht="16.5" hidden="1" thickBot="1" x14ac:dyDescent="0.3">
      <c r="A28" s="8"/>
      <c r="B28" s="233" t="s">
        <v>93</v>
      </c>
      <c r="C28" s="228"/>
      <c r="D28" s="231"/>
      <c r="E28" s="235"/>
      <c r="F28" s="235"/>
      <c r="G28" s="214"/>
      <c r="H28" s="218"/>
      <c r="I28" s="43"/>
      <c r="J28" s="43"/>
      <c r="K28" s="206"/>
      <c r="L28" s="222"/>
      <c r="M28" s="204"/>
      <c r="N28" s="115"/>
      <c r="O28" s="212" t="s">
        <v>36</v>
      </c>
      <c r="P28" s="330">
        <v>0</v>
      </c>
      <c r="Q28" s="107">
        <v>0.4</v>
      </c>
      <c r="R28" s="108">
        <v>0</v>
      </c>
      <c r="S28" s="109" t="s">
        <v>94</v>
      </c>
      <c r="T28" s="57"/>
      <c r="U28" s="57"/>
      <c r="V28" s="56"/>
      <c r="W28" s="57"/>
      <c r="X28" s="57"/>
      <c r="Y28" s="69"/>
    </row>
    <row r="29" spans="1:25" s="1" customFormat="1" ht="16.5" hidden="1" thickBot="1" x14ac:dyDescent="0.3">
      <c r="A29" s="8"/>
      <c r="B29" s="233" t="s">
        <v>97</v>
      </c>
      <c r="C29" s="228"/>
      <c r="D29" s="229"/>
      <c r="E29" s="235"/>
      <c r="F29" s="235"/>
      <c r="G29" s="214"/>
      <c r="H29" s="124"/>
      <c r="I29" s="43"/>
      <c r="J29" s="124"/>
      <c r="K29" s="100"/>
      <c r="L29" s="222"/>
      <c r="M29" s="101"/>
      <c r="N29" s="322"/>
      <c r="O29" s="275" t="s">
        <v>36</v>
      </c>
      <c r="P29" s="330">
        <v>0</v>
      </c>
      <c r="Q29" s="108">
        <v>0.2</v>
      </c>
      <c r="R29" s="74">
        <v>0</v>
      </c>
      <c r="S29" s="109" t="s">
        <v>98</v>
      </c>
      <c r="T29" s="57"/>
      <c r="U29" s="57"/>
      <c r="V29" s="56"/>
      <c r="W29" s="57"/>
      <c r="X29" s="57"/>
      <c r="Y29" s="69"/>
    </row>
    <row r="30" spans="1:25" s="1" customFormat="1" ht="16.5" hidden="1" thickBot="1" x14ac:dyDescent="0.3">
      <c r="A30" s="8"/>
      <c r="B30" s="233" t="s">
        <v>99</v>
      </c>
      <c r="C30" s="228"/>
      <c r="D30" s="229"/>
      <c r="E30" s="235"/>
      <c r="F30" s="235"/>
      <c r="G30" s="205"/>
      <c r="H30" s="124"/>
      <c r="I30" s="43"/>
      <c r="J30" s="124"/>
      <c r="K30" s="100"/>
      <c r="L30" s="222"/>
      <c r="M30" s="101"/>
      <c r="N30" s="322"/>
      <c r="O30" s="201" t="s">
        <v>36</v>
      </c>
      <c r="P30" s="480">
        <v>0</v>
      </c>
      <c r="Q30" s="73">
        <v>0.15</v>
      </c>
      <c r="R30" s="74">
        <v>0</v>
      </c>
      <c r="S30" s="109" t="s">
        <v>101</v>
      </c>
      <c r="T30" s="57"/>
      <c r="U30" s="57"/>
      <c r="V30" s="56"/>
      <c r="W30" s="57"/>
      <c r="X30" s="57"/>
      <c r="Y30" s="69"/>
    </row>
    <row r="31" spans="1:25" s="1" customFormat="1" ht="16.5" hidden="1" thickBot="1" x14ac:dyDescent="0.3">
      <c r="A31" s="8"/>
      <c r="B31" s="233" t="s">
        <v>100</v>
      </c>
      <c r="C31" s="228"/>
      <c r="D31" s="229"/>
      <c r="E31" s="235"/>
      <c r="F31" s="235"/>
      <c r="G31" s="205"/>
      <c r="H31" s="124"/>
      <c r="I31" s="43"/>
      <c r="J31" s="124"/>
      <c r="K31" s="100"/>
      <c r="L31" s="222"/>
      <c r="M31" s="101"/>
      <c r="N31" s="322"/>
      <c r="O31" s="201" t="s">
        <v>36</v>
      </c>
      <c r="P31" s="480">
        <v>0</v>
      </c>
      <c r="Q31" s="73">
        <v>0.15</v>
      </c>
      <c r="R31" s="74">
        <v>0</v>
      </c>
      <c r="S31" s="109" t="s">
        <v>102</v>
      </c>
      <c r="T31" s="57"/>
      <c r="U31" s="57"/>
      <c r="V31" s="56"/>
      <c r="W31" s="57"/>
      <c r="X31" s="57"/>
      <c r="Y31" s="69"/>
    </row>
    <row r="32" spans="1:25" s="52" customFormat="1" ht="16.5" hidden="1" thickBot="1" x14ac:dyDescent="0.25">
      <c r="A32" s="39"/>
      <c r="B32" s="224" t="s">
        <v>103</v>
      </c>
      <c r="C32" s="225"/>
      <c r="D32" s="226"/>
      <c r="E32" s="226"/>
      <c r="F32" s="226"/>
      <c r="G32" s="42"/>
      <c r="H32" s="43">
        <f>G32/$G$52</f>
        <v>0</v>
      </c>
      <c r="I32" s="70"/>
      <c r="J32" s="44"/>
      <c r="K32" s="44"/>
      <c r="L32" s="102"/>
      <c r="M32" s="103"/>
      <c r="N32" s="323"/>
      <c r="O32" s="104"/>
      <c r="P32" s="334">
        <v>0</v>
      </c>
      <c r="Q32" s="485"/>
      <c r="R32" s="486"/>
      <c r="S32" s="90"/>
      <c r="T32" s="51"/>
      <c r="U32" s="51"/>
      <c r="V32" s="51"/>
      <c r="W32" s="51"/>
      <c r="X32" s="51"/>
      <c r="Y32" s="51"/>
    </row>
    <row r="33" spans="1:25" s="1" customFormat="1" ht="16.5" hidden="1" thickBot="1" x14ac:dyDescent="0.3">
      <c r="A33" s="8"/>
      <c r="B33" s="236" t="s">
        <v>104</v>
      </c>
      <c r="C33" s="228"/>
      <c r="D33" s="237"/>
      <c r="E33" s="235"/>
      <c r="F33" s="235"/>
      <c r="G33" s="199"/>
      <c r="H33" s="124"/>
      <c r="I33" s="223"/>
      <c r="J33" s="124"/>
      <c r="K33" s="100"/>
      <c r="L33" s="222"/>
      <c r="M33" s="101"/>
      <c r="N33" s="115"/>
      <c r="O33" s="217"/>
      <c r="P33" s="330">
        <v>0</v>
      </c>
      <c r="Q33" s="107">
        <v>0.05</v>
      </c>
      <c r="R33" s="108">
        <v>0.01</v>
      </c>
      <c r="S33" s="483" t="s">
        <v>106</v>
      </c>
      <c r="T33" s="57"/>
      <c r="U33" s="57"/>
      <c r="V33" s="56"/>
      <c r="W33" s="57"/>
      <c r="X33" s="56"/>
      <c r="Y33" s="58"/>
    </row>
    <row r="34" spans="1:25" s="1" customFormat="1" ht="16.5" hidden="1" thickBot="1" x14ac:dyDescent="0.3">
      <c r="A34" s="8"/>
      <c r="B34" s="236" t="s">
        <v>105</v>
      </c>
      <c r="C34" s="228"/>
      <c r="D34" s="237"/>
      <c r="E34" s="235"/>
      <c r="F34" s="235"/>
      <c r="G34" s="199"/>
      <c r="H34" s="124"/>
      <c r="I34" s="223"/>
      <c r="J34" s="124"/>
      <c r="K34" s="100"/>
      <c r="L34" s="222"/>
      <c r="M34" s="101"/>
      <c r="N34" s="322"/>
      <c r="O34" s="217"/>
      <c r="P34" s="330">
        <v>0</v>
      </c>
      <c r="Q34" s="107">
        <v>0.05</v>
      </c>
      <c r="R34" s="108">
        <v>0</v>
      </c>
      <c r="S34" s="483" t="s">
        <v>107</v>
      </c>
      <c r="T34" s="57"/>
      <c r="U34" s="57"/>
      <c r="V34" s="56"/>
      <c r="W34" s="57"/>
      <c r="X34" s="56"/>
      <c r="Y34" s="58"/>
    </row>
    <row r="35" spans="1:25" s="52" customFormat="1" ht="16.5" hidden="1" thickBot="1" x14ac:dyDescent="0.25">
      <c r="A35" s="39"/>
      <c r="B35" s="224" t="s">
        <v>108</v>
      </c>
      <c r="C35" s="225"/>
      <c r="D35" s="226"/>
      <c r="E35" s="226"/>
      <c r="F35" s="226"/>
      <c r="G35" s="42"/>
      <c r="H35" s="43">
        <f>G35/$G$52</f>
        <v>0</v>
      </c>
      <c r="I35" s="70"/>
      <c r="J35" s="44"/>
      <c r="K35" s="44"/>
      <c r="L35" s="44"/>
      <c r="M35" s="87"/>
      <c r="N35" s="323"/>
      <c r="O35" s="41"/>
      <c r="P35" s="337">
        <f>SUM((G4+G10+G18+G19+G20+G22+G23+G28+G29+G30+G32+G33+G34)/G52)</f>
        <v>0.91504301401984223</v>
      </c>
      <c r="Q35" s="485"/>
      <c r="R35" s="486"/>
      <c r="S35" s="90"/>
      <c r="T35" s="51"/>
      <c r="U35" s="51"/>
      <c r="V35" s="51"/>
      <c r="W35" s="51"/>
      <c r="X35" s="51"/>
      <c r="Y35" s="51"/>
    </row>
    <row r="36" spans="1:25" s="1" customFormat="1" ht="16.5" hidden="1" thickBot="1" x14ac:dyDescent="0.3">
      <c r="A36" s="113"/>
      <c r="B36" s="224" t="s">
        <v>111</v>
      </c>
      <c r="C36" s="225"/>
      <c r="D36" s="226"/>
      <c r="E36" s="226"/>
      <c r="F36" s="226"/>
      <c r="G36" s="42"/>
      <c r="H36" s="115">
        <f>G36/$G$52</f>
        <v>0</v>
      </c>
      <c r="I36" s="70"/>
      <c r="J36" s="44"/>
      <c r="K36" s="44"/>
      <c r="L36" s="44"/>
      <c r="M36" s="87"/>
      <c r="N36" s="254"/>
      <c r="O36" s="41"/>
      <c r="P36" s="334">
        <v>0</v>
      </c>
      <c r="Q36" s="48"/>
      <c r="R36" s="486"/>
      <c r="S36" s="90"/>
      <c r="T36" s="57"/>
      <c r="U36" s="57"/>
      <c r="V36" s="56"/>
      <c r="W36" s="57"/>
      <c r="X36" s="57"/>
      <c r="Y36" s="112"/>
    </row>
    <row r="37" spans="1:25" s="52" customFormat="1" ht="16.5" thickBot="1" x14ac:dyDescent="0.25">
      <c r="A37" s="39"/>
      <c r="B37" s="224" t="s">
        <v>109</v>
      </c>
      <c r="C37" s="225"/>
      <c r="D37" s="226"/>
      <c r="E37" s="226"/>
      <c r="F37" s="226"/>
      <c r="G37" s="42">
        <f>SUM(G38:G41)</f>
        <v>18913865.68</v>
      </c>
      <c r="H37" s="43">
        <f>G37/$G$52</f>
        <v>7.0701537809888804E-2</v>
      </c>
      <c r="I37" s="70"/>
      <c r="J37" s="28"/>
      <c r="K37" s="44"/>
      <c r="L37" s="44"/>
      <c r="M37" s="87"/>
      <c r="N37" s="88"/>
      <c r="O37" s="114"/>
      <c r="P37" s="332"/>
      <c r="Q37" s="485"/>
      <c r="R37" s="485"/>
      <c r="S37" s="94"/>
      <c r="T37" s="51"/>
      <c r="U37" s="51"/>
      <c r="V37" s="51"/>
      <c r="W37" s="51"/>
      <c r="X37" s="51"/>
      <c r="Y37" s="51"/>
    </row>
    <row r="38" spans="1:25" s="52" customFormat="1" ht="18.75" thickBot="1" x14ac:dyDescent="0.3">
      <c r="A38" s="39"/>
      <c r="B38" s="53" t="s">
        <v>193</v>
      </c>
      <c r="C38" s="118"/>
      <c r="D38" s="60" t="s">
        <v>190</v>
      </c>
      <c r="E38" s="85" t="s">
        <v>191</v>
      </c>
      <c r="F38" s="85" t="s">
        <v>192</v>
      </c>
      <c r="G38" s="377">
        <v>3816247.34</v>
      </c>
      <c r="H38" s="61">
        <f t="shared" ref="H38:H41" si="4">G38/$G$52</f>
        <v>1.4265436805243167E-2</v>
      </c>
      <c r="I38" s="378">
        <v>6.2300000000000001E-2</v>
      </c>
      <c r="J38" s="111"/>
      <c r="K38" s="476"/>
      <c r="L38" s="81" t="s">
        <v>46</v>
      </c>
      <c r="M38" s="478">
        <v>833064712.66999996</v>
      </c>
      <c r="N38" s="64">
        <f t="shared" ref="N38:N41" si="5">G38/M38</f>
        <v>4.5809734609557531E-3</v>
      </c>
      <c r="O38" s="40"/>
      <c r="P38" s="327"/>
      <c r="Q38" s="474"/>
      <c r="R38" s="474"/>
      <c r="S38" s="475"/>
      <c r="T38" s="51"/>
      <c r="U38" s="51"/>
      <c r="V38" s="51"/>
      <c r="W38" s="51"/>
      <c r="X38" s="51"/>
      <c r="Y38" s="51"/>
    </row>
    <row r="39" spans="1:25" s="1" customFormat="1" ht="18" x14ac:dyDescent="0.25">
      <c r="A39" s="8">
        <v>36</v>
      </c>
      <c r="B39" s="53" t="s">
        <v>134</v>
      </c>
      <c r="C39" s="118"/>
      <c r="D39" s="60" t="s">
        <v>49</v>
      </c>
      <c r="E39" s="85" t="s">
        <v>50</v>
      </c>
      <c r="F39" s="85" t="s">
        <v>51</v>
      </c>
      <c r="G39" s="377">
        <v>6964078</v>
      </c>
      <c r="H39" s="61">
        <f t="shared" si="4"/>
        <v>2.6032278771476122E-2</v>
      </c>
      <c r="I39" s="378">
        <v>1.9599999999999999E-2</v>
      </c>
      <c r="J39" s="111"/>
      <c r="K39" s="263"/>
      <c r="L39" s="262" t="s">
        <v>135</v>
      </c>
      <c r="M39" s="379">
        <v>610160821.70000005</v>
      </c>
      <c r="N39" s="318">
        <f t="shared" si="5"/>
        <v>1.1413512228787533E-2</v>
      </c>
      <c r="O39" s="536" t="s">
        <v>47</v>
      </c>
      <c r="P39" s="507">
        <f>SUM(G39:G41)/G52</f>
        <v>5.643610100464564E-2</v>
      </c>
      <c r="Q39" s="530">
        <v>0.2</v>
      </c>
      <c r="R39" s="542">
        <v>0.15</v>
      </c>
      <c r="S39" s="533" t="s">
        <v>145</v>
      </c>
      <c r="T39" s="57"/>
      <c r="U39" s="57"/>
      <c r="V39" s="56"/>
      <c r="W39" s="57"/>
      <c r="X39" s="57"/>
      <c r="Y39" s="112"/>
    </row>
    <row r="40" spans="1:25" s="1" customFormat="1" ht="18" x14ac:dyDescent="0.25">
      <c r="A40" s="8"/>
      <c r="B40" s="53" t="s">
        <v>134</v>
      </c>
      <c r="C40" s="118"/>
      <c r="D40" s="60" t="s">
        <v>175</v>
      </c>
      <c r="E40" s="85" t="s">
        <v>26</v>
      </c>
      <c r="F40" s="85" t="s">
        <v>32</v>
      </c>
      <c r="G40" s="377">
        <v>3900590.36</v>
      </c>
      <c r="H40" s="61">
        <f t="shared" si="4"/>
        <v>1.4580717738206322E-2</v>
      </c>
      <c r="I40" s="378">
        <v>7.3899999999999993E-2</v>
      </c>
      <c r="J40" s="111"/>
      <c r="K40" s="265"/>
      <c r="L40" s="262" t="s">
        <v>46</v>
      </c>
      <c r="M40" s="379">
        <v>531813980.95999998</v>
      </c>
      <c r="N40" s="264">
        <f t="shared" si="5"/>
        <v>7.3345013475555471E-3</v>
      </c>
      <c r="O40" s="537"/>
      <c r="P40" s="508"/>
      <c r="Q40" s="531"/>
      <c r="R40" s="543"/>
      <c r="S40" s="534"/>
      <c r="T40" s="57"/>
      <c r="U40" s="57"/>
      <c r="V40" s="56"/>
      <c r="W40" s="57"/>
      <c r="X40" s="57"/>
      <c r="Y40" s="112"/>
    </row>
    <row r="41" spans="1:25" s="1" customFormat="1" ht="18.75" thickBot="1" x14ac:dyDescent="0.3">
      <c r="A41" s="8"/>
      <c r="B41" s="266" t="s">
        <v>137</v>
      </c>
      <c r="C41" s="77"/>
      <c r="D41" s="67" t="s">
        <v>171</v>
      </c>
      <c r="E41" s="110">
        <v>0.54</v>
      </c>
      <c r="F41" s="99" t="s">
        <v>32</v>
      </c>
      <c r="G41" s="381">
        <v>4232949.9800000004</v>
      </c>
      <c r="H41" s="121">
        <f t="shared" si="4"/>
        <v>1.5823104494963193E-2</v>
      </c>
      <c r="I41" s="380">
        <v>5.3400000000000003E-2</v>
      </c>
      <c r="J41" s="111"/>
      <c r="K41" s="216"/>
      <c r="L41" s="267" t="s">
        <v>138</v>
      </c>
      <c r="M41" s="382">
        <v>281988478.39999998</v>
      </c>
      <c r="N41" s="61">
        <f t="shared" si="5"/>
        <v>1.5011074225506373E-2</v>
      </c>
      <c r="O41" s="538"/>
      <c r="P41" s="509"/>
      <c r="Q41" s="532"/>
      <c r="R41" s="544"/>
      <c r="S41" s="535"/>
      <c r="T41" s="57"/>
      <c r="U41" s="57"/>
      <c r="V41" s="56"/>
      <c r="W41" s="57"/>
      <c r="X41" s="57"/>
      <c r="Y41" s="112"/>
    </row>
    <row r="42" spans="1:25" s="1" customFormat="1" ht="16.5" thickBot="1" x14ac:dyDescent="0.3">
      <c r="A42" s="8"/>
      <c r="B42" s="240" t="s">
        <v>112</v>
      </c>
      <c r="C42" s="228"/>
      <c r="D42" s="239"/>
      <c r="E42" s="230"/>
      <c r="F42" s="232"/>
      <c r="G42" s="238"/>
      <c r="H42" s="124"/>
      <c r="I42" s="83"/>
      <c r="J42" s="273"/>
      <c r="K42" s="206"/>
      <c r="L42" s="274"/>
      <c r="M42" s="204"/>
      <c r="N42" s="43"/>
      <c r="O42" s="275" t="s">
        <v>47</v>
      </c>
      <c r="P42" s="336">
        <v>0</v>
      </c>
      <c r="Q42" s="73">
        <v>0.2</v>
      </c>
      <c r="R42" s="74">
        <v>0</v>
      </c>
      <c r="S42" s="276" t="s">
        <v>110</v>
      </c>
      <c r="T42" s="57"/>
      <c r="U42" s="57"/>
      <c r="V42" s="56"/>
      <c r="W42" s="57"/>
      <c r="X42" s="57"/>
      <c r="Y42" s="112"/>
    </row>
    <row r="43" spans="1:25" s="52" customFormat="1" ht="16.5" thickBot="1" x14ac:dyDescent="0.25">
      <c r="A43" s="39"/>
      <c r="B43" s="240" t="s">
        <v>113</v>
      </c>
      <c r="C43" s="225"/>
      <c r="D43" s="226"/>
      <c r="E43" s="226"/>
      <c r="F43" s="226"/>
      <c r="G43" s="42">
        <f>SUM(G44:G45)</f>
        <v>3585645.95</v>
      </c>
      <c r="H43" s="43">
        <f>G43/$G$52</f>
        <v>1.3403430424847962E-2</v>
      </c>
      <c r="I43" s="278"/>
      <c r="J43" s="44"/>
      <c r="K43" s="44"/>
      <c r="L43" s="44"/>
      <c r="M43" s="87"/>
      <c r="N43" s="254"/>
      <c r="O43" s="104"/>
      <c r="P43" s="334"/>
      <c r="Q43" s="485"/>
      <c r="R43" s="486"/>
      <c r="S43" s="116"/>
      <c r="T43" s="51"/>
      <c r="U43" s="51"/>
      <c r="V43" s="51"/>
      <c r="W43" s="51"/>
      <c r="X43" s="51"/>
      <c r="Y43" s="51"/>
    </row>
    <row r="44" spans="1:25" s="1" customFormat="1" ht="18.75" thickBot="1" x14ac:dyDescent="0.3">
      <c r="A44" s="8"/>
      <c r="B44" s="268" t="s">
        <v>139</v>
      </c>
      <c r="C44" s="66" t="s">
        <v>48</v>
      </c>
      <c r="D44" s="122" t="s">
        <v>53</v>
      </c>
      <c r="E44" s="79" t="s">
        <v>25</v>
      </c>
      <c r="F44" s="79" t="s">
        <v>26</v>
      </c>
      <c r="G44" s="385">
        <v>3585645.95</v>
      </c>
      <c r="H44" s="64">
        <f t="shared" ref="H44:H47" si="6">G44/$G$52</f>
        <v>1.3403430424847962E-2</v>
      </c>
      <c r="I44" s="386">
        <v>3.85E-2</v>
      </c>
      <c r="J44" s="277"/>
      <c r="K44" s="269"/>
      <c r="L44" s="123" t="s">
        <v>43</v>
      </c>
      <c r="M44" s="387">
        <v>1054214856.05</v>
      </c>
      <c r="N44" s="61">
        <f t="shared" ref="N44" si="7">G44/M44</f>
        <v>3.4012477906400686E-3</v>
      </c>
      <c r="O44" s="525" t="s">
        <v>150</v>
      </c>
      <c r="P44" s="507">
        <f>SUM(G44:G45)/G52</f>
        <v>1.3403430424847962E-2</v>
      </c>
      <c r="Q44" s="510">
        <v>0.1</v>
      </c>
      <c r="R44" s="510">
        <v>0.03</v>
      </c>
      <c r="S44" s="519"/>
      <c r="T44" s="57"/>
      <c r="U44" s="57"/>
      <c r="V44" s="56"/>
      <c r="W44" s="57"/>
      <c r="X44" s="57"/>
      <c r="Y44" s="69"/>
    </row>
    <row r="45" spans="1:25" s="1" customFormat="1" ht="18.75" thickBot="1" x14ac:dyDescent="0.3">
      <c r="A45" s="8"/>
      <c r="B45" s="279" t="s">
        <v>130</v>
      </c>
      <c r="C45" s="118"/>
      <c r="D45" s="67" t="s">
        <v>55</v>
      </c>
      <c r="E45" s="85" t="s">
        <v>56</v>
      </c>
      <c r="F45" s="85" t="s">
        <v>56</v>
      </c>
      <c r="G45" s="294">
        <v>0</v>
      </c>
      <c r="H45" s="68">
        <f t="shared" si="6"/>
        <v>0</v>
      </c>
      <c r="I45" s="295">
        <v>0</v>
      </c>
      <c r="J45" s="105"/>
      <c r="K45" s="270"/>
      <c r="L45" s="262" t="s">
        <v>46</v>
      </c>
      <c r="M45" s="413">
        <v>0</v>
      </c>
      <c r="N45" s="477">
        <v>0</v>
      </c>
      <c r="O45" s="526"/>
      <c r="P45" s="509"/>
      <c r="Q45" s="512"/>
      <c r="R45" s="512"/>
      <c r="S45" s="520"/>
      <c r="T45" s="57"/>
      <c r="U45" s="57"/>
      <c r="V45" s="56"/>
      <c r="W45" s="57"/>
      <c r="X45" s="57"/>
      <c r="Y45" s="69"/>
    </row>
    <row r="46" spans="1:25" s="1" customFormat="1" ht="16.5" thickBot="1" x14ac:dyDescent="0.3">
      <c r="A46" s="8"/>
      <c r="B46" s="240" t="s">
        <v>114</v>
      </c>
      <c r="C46" s="225"/>
      <c r="D46" s="226"/>
      <c r="E46" s="226"/>
      <c r="F46" s="226"/>
      <c r="G46" s="42">
        <f>SUM(G47)</f>
        <v>217003.03</v>
      </c>
      <c r="H46" s="43">
        <f>G46/$G$52</f>
        <v>8.1117462659306748E-4</v>
      </c>
      <c r="I46" s="70"/>
      <c r="J46" s="71"/>
      <c r="K46" s="71"/>
      <c r="L46" s="44"/>
      <c r="M46" s="72"/>
      <c r="N46" s="88"/>
      <c r="O46" s="319"/>
      <c r="P46" s="335"/>
      <c r="Q46" s="324"/>
      <c r="R46" s="320"/>
      <c r="S46" s="11"/>
      <c r="T46" s="57"/>
      <c r="U46" s="57"/>
      <c r="V46" s="56"/>
      <c r="W46" s="57"/>
      <c r="X46" s="57"/>
      <c r="Y46" s="69"/>
    </row>
    <row r="47" spans="1:25" s="1" customFormat="1" ht="16.5" thickBot="1" x14ac:dyDescent="0.3">
      <c r="A47" s="8"/>
      <c r="B47" s="453" t="s">
        <v>186</v>
      </c>
      <c r="C47" s="125"/>
      <c r="D47" s="454" t="s">
        <v>184</v>
      </c>
      <c r="E47" s="390" t="s">
        <v>185</v>
      </c>
      <c r="F47" s="390" t="s">
        <v>185</v>
      </c>
      <c r="G47" s="455">
        <v>217003.03</v>
      </c>
      <c r="H47" s="68">
        <f t="shared" si="6"/>
        <v>8.1117462659306748E-4</v>
      </c>
      <c r="I47" s="456">
        <v>-0.1024</v>
      </c>
      <c r="J47" s="457"/>
      <c r="K47" s="458"/>
      <c r="L47" s="125" t="s">
        <v>45</v>
      </c>
      <c r="M47" s="459">
        <v>5768663.8200000003</v>
      </c>
      <c r="N47" s="460">
        <f>G47/M47</f>
        <v>3.7617555255629369E-2</v>
      </c>
      <c r="O47" s="319" t="s">
        <v>151</v>
      </c>
      <c r="P47" s="335">
        <v>0.02</v>
      </c>
      <c r="Q47" s="324">
        <v>0.05</v>
      </c>
      <c r="R47" s="320">
        <v>0.03</v>
      </c>
      <c r="S47" s="11" t="s">
        <v>152</v>
      </c>
      <c r="T47" s="57"/>
      <c r="U47" s="57"/>
      <c r="V47" s="56"/>
      <c r="W47" s="57"/>
      <c r="X47" s="57"/>
      <c r="Y47" s="69"/>
    </row>
    <row r="48" spans="1:25" s="52" customFormat="1" ht="16.5" thickBot="1" x14ac:dyDescent="0.25">
      <c r="A48" s="39"/>
      <c r="B48" s="240" t="s">
        <v>115</v>
      </c>
      <c r="C48" s="225"/>
      <c r="D48" s="226"/>
      <c r="E48" s="226"/>
      <c r="F48" s="226"/>
      <c r="G48" s="42"/>
      <c r="H48" s="43">
        <f>G48/$G$52</f>
        <v>0</v>
      </c>
      <c r="I48" s="70"/>
      <c r="J48" s="44"/>
      <c r="K48" s="44"/>
      <c r="L48" s="44"/>
      <c r="M48" s="87"/>
      <c r="N48" s="254"/>
      <c r="O48" s="321" t="s">
        <v>153</v>
      </c>
      <c r="P48" s="335">
        <v>0</v>
      </c>
      <c r="Q48" s="320">
        <v>0.05</v>
      </c>
      <c r="R48" s="320">
        <v>0.03</v>
      </c>
      <c r="S48" s="11" t="s">
        <v>154</v>
      </c>
      <c r="T48" s="51"/>
      <c r="U48" s="51"/>
      <c r="V48" s="51"/>
      <c r="W48" s="51"/>
      <c r="X48" s="51"/>
      <c r="Y48" s="51"/>
    </row>
    <row r="49" spans="1:25" s="1" customFormat="1" ht="12" customHeight="1" thickBot="1" x14ac:dyDescent="0.3">
      <c r="A49" s="113"/>
      <c r="B49" s="114" t="s">
        <v>57</v>
      </c>
      <c r="C49" s="40"/>
      <c r="D49" s="41"/>
      <c r="E49" s="126"/>
      <c r="F49" s="126"/>
      <c r="G49" s="127">
        <f>SUM(G50:G51)</f>
        <v>10926.23</v>
      </c>
      <c r="H49" s="128">
        <f>G49/$G$52</f>
        <v>4.0843118827971993E-5</v>
      </c>
      <c r="I49" s="129"/>
      <c r="J49" s="130"/>
      <c r="K49" s="130"/>
      <c r="L49" s="130"/>
      <c r="M49" s="131"/>
      <c r="N49" s="88"/>
      <c r="O49" s="132"/>
      <c r="P49" s="339">
        <f>SUM((G35+G36+G37+G43+G48)/G52)</f>
        <v>8.410496823473676E-2</v>
      </c>
      <c r="Q49" s="133"/>
      <c r="R49" s="134">
        <f>SUM(P35+P49+P50+P51)/100</f>
        <v>9.9918882537340711E-3</v>
      </c>
      <c r="S49" s="50"/>
      <c r="T49" s="125"/>
      <c r="U49" s="125"/>
      <c r="V49" s="125"/>
      <c r="W49" s="125"/>
      <c r="X49" s="125"/>
    </row>
    <row r="50" spans="1:25" s="1" customFormat="1" ht="15.75" thickBot="1" x14ac:dyDescent="0.3">
      <c r="A50" s="113">
        <v>46</v>
      </c>
      <c r="B50" s="284" t="s">
        <v>143</v>
      </c>
      <c r="C50" s="285"/>
      <c r="D50" s="286"/>
      <c r="E50" s="287"/>
      <c r="F50" s="287"/>
      <c r="G50" s="288">
        <v>0</v>
      </c>
      <c r="H50" s="83"/>
      <c r="I50" s="96">
        <v>0</v>
      </c>
      <c r="J50" s="136"/>
      <c r="K50" s="137"/>
      <c r="L50" s="138"/>
      <c r="M50" s="139"/>
      <c r="N50" s="140"/>
      <c r="O50" s="521" t="s">
        <v>58</v>
      </c>
      <c r="P50" s="523">
        <f>SUM(G50:G51)/G52</f>
        <v>4.0843118827971993E-5</v>
      </c>
      <c r="Q50" s="141"/>
      <c r="R50" s="142"/>
      <c r="S50" s="135"/>
      <c r="T50" s="125"/>
      <c r="U50" s="125"/>
      <c r="V50" s="125"/>
      <c r="W50" s="125"/>
      <c r="X50" s="125"/>
    </row>
    <row r="51" spans="1:25" s="125" customFormat="1" ht="15.75" thickBot="1" x14ac:dyDescent="0.3">
      <c r="A51" s="8">
        <v>47</v>
      </c>
      <c r="B51" s="284" t="s">
        <v>189</v>
      </c>
      <c r="C51" s="285"/>
      <c r="D51" s="286"/>
      <c r="E51" s="287"/>
      <c r="F51" s="287"/>
      <c r="G51" s="288">
        <v>10926.23</v>
      </c>
      <c r="H51" s="83"/>
      <c r="I51" s="62">
        <v>0</v>
      </c>
      <c r="J51" s="144"/>
      <c r="K51" s="145"/>
      <c r="L51" s="146"/>
      <c r="M51" s="147"/>
      <c r="N51" s="148"/>
      <c r="O51" s="522"/>
      <c r="P51" s="524"/>
      <c r="Q51" s="149"/>
      <c r="R51" s="150"/>
      <c r="S51" s="143"/>
      <c r="T51" s="151"/>
      <c r="V51" s="152"/>
      <c r="Y51" s="1"/>
    </row>
    <row r="52" spans="1:25" s="125" customFormat="1" ht="16.5" thickBot="1" x14ac:dyDescent="0.3">
      <c r="A52" s="8"/>
      <c r="B52" s="153" t="s">
        <v>59</v>
      </c>
      <c r="C52" s="154"/>
      <c r="D52" s="155"/>
      <c r="E52" s="156"/>
      <c r="F52" s="156"/>
      <c r="G52" s="157">
        <f>G4+G10+G18+G19+G20+G22+G23+G28+G29+G30+G31+G32+G33+G34+G35+G36+G37+G42+G43+G46+G48+G49</f>
        <v>267517033.79999998</v>
      </c>
      <c r="H52" s="158">
        <f>G52/$G$52</f>
        <v>1</v>
      </c>
      <c r="I52" s="159"/>
      <c r="J52" s="160"/>
      <c r="K52" s="161"/>
      <c r="L52" s="162"/>
      <c r="M52" s="163"/>
      <c r="N52" s="164"/>
      <c r="O52" s="165"/>
      <c r="P52" s="334">
        <f>SUM(P5+P11+P18+P19+P20+P22+P24+P28+P29+P30+P31+P32+P33+P34+P36+P39+P42+P44+P46+P48+P50)</f>
        <v>0.75456191612423618</v>
      </c>
      <c r="Q52" s="166"/>
      <c r="R52" s="338">
        <f>P35+P49</f>
        <v>0.99914798225457901</v>
      </c>
      <c r="S52" s="167"/>
      <c r="T52" s="151"/>
      <c r="V52" s="152"/>
      <c r="Y52" s="1"/>
    </row>
    <row r="53" spans="1:25" s="125" customFormat="1" x14ac:dyDescent="0.25">
      <c r="A53" s="1"/>
      <c r="B53" s="168" t="str">
        <f>'[3]FFIN2 Julho 2018'!$B$73</f>
        <v>Meta Atuarial(INPC 0,25 + 0,486755)</v>
      </c>
      <c r="C53" s="168"/>
      <c r="D53" s="169"/>
      <c r="E53" s="169">
        <f>'[3]FFIN2 Julho 2018'!$E$73</f>
        <v>7.6E-3</v>
      </c>
      <c r="F53" s="169"/>
      <c r="G53" s="168" t="s">
        <v>60</v>
      </c>
      <c r="H53" s="170">
        <f>'[3]FFIN2 Julho 2018'!$H$73</f>
        <v>8.8800000000000004E-2</v>
      </c>
      <c r="I53" s="171"/>
      <c r="J53" s="168" t="s">
        <v>61</v>
      </c>
      <c r="K53" s="170">
        <f>'[3]FFIN2 Julho 2018'!$K$73</f>
        <v>1.37E-2</v>
      </c>
      <c r="L53" s="171"/>
      <c r="M53" s="172" t="s">
        <v>62</v>
      </c>
      <c r="N53" s="170">
        <f>'[3]FFIN2 Julho 2018'!$N$73</f>
        <v>1.4744E-2</v>
      </c>
      <c r="O53" s="1"/>
      <c r="P53" s="170" t="s">
        <v>167</v>
      </c>
      <c r="Q53" s="1"/>
      <c r="R53" s="170"/>
      <c r="S53" s="173">
        <v>4.2299999999999997E-2</v>
      </c>
      <c r="Y53" s="1"/>
    </row>
    <row r="54" spans="1:25" s="125" customFormat="1" x14ac:dyDescent="0.25">
      <c r="A54" s="1"/>
      <c r="B54" s="168" t="s">
        <v>169</v>
      </c>
      <c r="C54" s="174"/>
      <c r="D54" s="168"/>
      <c r="E54" s="175">
        <v>1.8200000000000001E-2</v>
      </c>
      <c r="F54" s="170"/>
      <c r="G54" s="168" t="s">
        <v>63</v>
      </c>
      <c r="H54" s="170">
        <f>'[3]FFIN2 Julho 2018'!$H$74</f>
        <v>8.8400000000000006E-2</v>
      </c>
      <c r="I54" s="168"/>
      <c r="J54" s="168" t="s">
        <v>64</v>
      </c>
      <c r="K54" s="170">
        <f>'[3]FFIN2 Julho 2018'!$K$74</f>
        <v>2.3153E-2</v>
      </c>
      <c r="L54" s="170"/>
      <c r="M54" s="172" t="s">
        <v>65</v>
      </c>
      <c r="N54" s="170">
        <f>'[3]FFIN2 Julho 2018'!$N$74</f>
        <v>6.6020000000000002E-3</v>
      </c>
      <c r="O54" s="1"/>
      <c r="P54" s="178" t="s">
        <v>66</v>
      </c>
      <c r="Q54" s="1"/>
      <c r="R54" s="1"/>
      <c r="S54" s="173">
        <v>6.3600000000000004E-2</v>
      </c>
      <c r="Y54" s="1"/>
    </row>
    <row r="55" spans="1:25" s="125" customFormat="1" x14ac:dyDescent="0.25">
      <c r="A55" s="1"/>
      <c r="B55" s="168" t="s">
        <v>67</v>
      </c>
      <c r="C55" s="1"/>
      <c r="D55" s="170"/>
      <c r="E55" s="170">
        <f>'[3]FFIN2 Julho 2018'!$E$75</f>
        <v>2.5000000000000001E-3</v>
      </c>
      <c r="F55" s="170"/>
      <c r="G55" s="168" t="s">
        <v>68</v>
      </c>
      <c r="H55" s="170">
        <f>'[3]FFIN2 Julho 2018'!$H$75</f>
        <v>8.9200000000000002E-2</v>
      </c>
      <c r="I55" s="168"/>
      <c r="J55" s="168" t="s">
        <v>69</v>
      </c>
      <c r="K55" s="170">
        <f>'[3]FFIN2 Julho 2018'!$K$75</f>
        <v>1.4142999999999999E-2</v>
      </c>
      <c r="L55" s="170"/>
      <c r="M55" s="172" t="s">
        <v>70</v>
      </c>
      <c r="N55" s="170">
        <f>'[3]FFIN2 Julho 2018'!$N$75</f>
        <v>1.7947999999999999E-2</v>
      </c>
      <c r="O55" s="170"/>
      <c r="P55" s="178" t="s">
        <v>168</v>
      </c>
      <c r="Q55" s="1"/>
      <c r="R55" s="1"/>
      <c r="S55" s="173">
        <v>8.3599999999999994E-2</v>
      </c>
      <c r="T55" s="177"/>
      <c r="Y55" s="1"/>
    </row>
    <row r="56" spans="1:25" s="125" customFormat="1" x14ac:dyDescent="0.25">
      <c r="A56" s="1"/>
      <c r="B56" s="168" t="s">
        <v>54</v>
      </c>
      <c r="C56" s="170"/>
      <c r="D56" s="170"/>
      <c r="E56" s="178">
        <f>'[3]FFIN2 Julho 2018'!$E$76</f>
        <v>5.4000000000000003E-3</v>
      </c>
      <c r="F56" s="178"/>
      <c r="G56" s="168" t="s">
        <v>71</v>
      </c>
      <c r="H56" s="170">
        <f>'[3]FFIN2 Julho 2018'!$H$76</f>
        <v>5.0900000000000001E-2</v>
      </c>
      <c r="I56" s="168"/>
      <c r="J56" s="168" t="s">
        <v>72</v>
      </c>
      <c r="K56" s="170">
        <f>'[3]FFIN2 Julho 2018'!$K$76</f>
        <v>1.4765E-2</v>
      </c>
      <c r="L56" s="170"/>
      <c r="M56" s="172" t="s">
        <v>73</v>
      </c>
      <c r="N56" s="170">
        <f>'[3]FFIN2 Julho 2018'!$N$76</f>
        <v>2.2756999999999999E-2</v>
      </c>
      <c r="O56" s="170"/>
      <c r="P56" s="178" t="s">
        <v>74</v>
      </c>
      <c r="Q56" s="1"/>
      <c r="R56" s="1"/>
      <c r="S56" s="173">
        <v>9.8000000000000004E-2</v>
      </c>
      <c r="Y56" s="1"/>
    </row>
    <row r="57" spans="1:25" s="125" customFormat="1" x14ac:dyDescent="0.25">
      <c r="A57" s="1"/>
      <c r="B57" s="168" t="s">
        <v>45</v>
      </c>
      <c r="C57" s="1"/>
      <c r="D57" s="170"/>
      <c r="E57" s="178">
        <f>'[3]FFIN2 Julho 2018'!$E$77</f>
        <v>3.3E-3</v>
      </c>
      <c r="F57" s="178"/>
      <c r="G57" s="168" t="s">
        <v>52</v>
      </c>
      <c r="H57" s="170">
        <f>'[3]FFIN2 Julho 2018'!$H$77</f>
        <v>7.2700000000000001E-2</v>
      </c>
      <c r="I57" s="1"/>
      <c r="J57" s="168" t="s">
        <v>75</v>
      </c>
      <c r="K57" s="170">
        <f>'[3]FFIN2 Julho 2018'!$K$77</f>
        <v>3.1461999999999997E-2</v>
      </c>
      <c r="L57" s="1"/>
      <c r="M57" s="172" t="s">
        <v>76</v>
      </c>
      <c r="N57" s="170">
        <f>'[3]FFIN2 Julho 2018'!$N$77</f>
        <v>5.4429999999999999E-3</v>
      </c>
      <c r="O57" s="170"/>
      <c r="P57" s="178"/>
      <c r="Q57" s="1"/>
      <c r="R57" s="1"/>
      <c r="S57" s="179">
        <f>G52</f>
        <v>267517033.79999998</v>
      </c>
      <c r="T57" s="180"/>
      <c r="Y57" s="1"/>
    </row>
    <row r="58" spans="1:25" s="125" customFormat="1" x14ac:dyDescent="0.25">
      <c r="A58" s="1"/>
      <c r="B58" s="1"/>
      <c r="C58" s="1"/>
      <c r="D58" s="1"/>
      <c r="E58" s="1"/>
      <c r="F58" s="1"/>
      <c r="G58" s="168"/>
      <c r="H58" s="170" t="s">
        <v>77</v>
      </c>
      <c r="I58" s="1"/>
      <c r="J58" s="168"/>
      <c r="K58" s="170"/>
      <c r="L58" s="1"/>
      <c r="M58" s="172"/>
      <c r="N58" s="181"/>
      <c r="O58" s="170"/>
      <c r="P58" s="181"/>
      <c r="Q58" s="1"/>
      <c r="R58" s="1"/>
      <c r="S58" s="182">
        <f>'[3]FFIN2 Julho 2018'!$G$72</f>
        <v>784344373.97000003</v>
      </c>
      <c r="Y58" s="1"/>
    </row>
    <row r="59" spans="1:25" s="1" customFormat="1" x14ac:dyDescent="0.25">
      <c r="D59" t="s">
        <v>78</v>
      </c>
      <c r="G59" s="183">
        <f>'[4]Consolidado Julho 2018'!$G$104</f>
        <v>1051861407.77</v>
      </c>
      <c r="H59" s="170"/>
      <c r="J59" s="168"/>
      <c r="K59" s="170"/>
      <c r="M59" s="184"/>
      <c r="N59" s="181"/>
      <c r="O59" s="170"/>
      <c r="P59" s="181"/>
      <c r="S59" s="185">
        <f>S57+S58</f>
        <v>1051861407.77</v>
      </c>
      <c r="T59" s="125"/>
      <c r="U59" s="125"/>
      <c r="V59" s="125"/>
      <c r="W59" s="125"/>
      <c r="X59" s="125"/>
    </row>
    <row r="60" spans="1:25" s="7" customFormat="1" x14ac:dyDescent="0.25">
      <c r="A60"/>
      <c r="B60"/>
      <c r="C60"/>
      <c r="D60"/>
      <c r="E60"/>
      <c r="F60"/>
      <c r="G60" s="186"/>
      <c r="H60" s="170"/>
      <c r="I60" s="1"/>
      <c r="J60" s="168"/>
      <c r="K60" s="170"/>
      <c r="L60" s="1"/>
      <c r="M60" s="184"/>
      <c r="N60" s="190"/>
      <c r="O60"/>
      <c r="P60" s="190"/>
      <c r="Q60"/>
      <c r="R60"/>
      <c r="S60" s="185"/>
      <c r="Y60"/>
    </row>
    <row r="61" spans="1:25" s="7" customFormat="1" x14ac:dyDescent="0.25">
      <c r="A61"/>
      <c r="B61" s="168"/>
      <c r="C61" s="168"/>
      <c r="D61" s="168"/>
      <c r="E61" s="169"/>
      <c r="F61" s="169"/>
      <c r="G61" s="186"/>
      <c r="H61" s="181"/>
      <c r="I61" s="1"/>
      <c r="J61" s="1"/>
      <c r="K61" s="1"/>
      <c r="L61" s="1"/>
      <c r="M61" s="184"/>
      <c r="N61" s="190"/>
      <c r="O61"/>
      <c r="P61" s="190"/>
      <c r="Q61"/>
      <c r="R61"/>
      <c r="S61"/>
      <c r="Y61"/>
    </row>
    <row r="62" spans="1:25" s="7" customFormat="1" x14ac:dyDescent="0.25">
      <c r="A62"/>
      <c r="B62" s="168"/>
      <c r="C62" s="168"/>
      <c r="D62" s="168"/>
      <c r="E62" s="170"/>
      <c r="F62" s="170"/>
      <c r="G62" s="191"/>
      <c r="H62" s="181"/>
      <c r="I62" s="1"/>
      <c r="J62" s="1"/>
      <c r="K62" s="1"/>
      <c r="L62" s="1"/>
      <c r="M62" s="184"/>
      <c r="N62" s="190"/>
      <c r="O62"/>
      <c r="P62" s="190"/>
      <c r="Q62"/>
      <c r="R62"/>
      <c r="S62"/>
      <c r="Y62"/>
    </row>
    <row r="63" spans="1:25" s="7" customFormat="1" x14ac:dyDescent="0.25">
      <c r="A63"/>
      <c r="B63" s="168"/>
      <c r="C63" s="1"/>
      <c r="D63" s="170"/>
      <c r="E63" s="170"/>
      <c r="F63" s="170"/>
      <c r="G63" s="186"/>
      <c r="H63" s="181"/>
      <c r="I63" s="1"/>
      <c r="J63" s="1"/>
      <c r="K63" s="1"/>
      <c r="L63" s="1"/>
      <c r="M63" s="184"/>
      <c r="N63" s="190"/>
      <c r="O63"/>
      <c r="P63" s="190"/>
      <c r="Q63"/>
      <c r="R63"/>
      <c r="S63"/>
      <c r="Y63"/>
    </row>
    <row r="64" spans="1:25" s="7" customFormat="1" x14ac:dyDescent="0.25">
      <c r="A64"/>
      <c r="B64" s="168"/>
      <c r="C64" s="170"/>
      <c r="D64" s="170"/>
      <c r="E64" s="176"/>
      <c r="F64" s="176"/>
      <c r="G64" s="186"/>
      <c r="H64" s="181"/>
      <c r="I64" s="1"/>
      <c r="J64" s="1"/>
      <c r="K64" s="1"/>
      <c r="L64" s="1"/>
      <c r="M64" s="184" t="s">
        <v>79</v>
      </c>
      <c r="N64" s="190"/>
      <c r="O64"/>
      <c r="P64" s="190"/>
      <c r="Q64"/>
      <c r="R64"/>
      <c r="S64"/>
      <c r="Y64"/>
    </row>
    <row r="65" spans="1:25" s="7" customFormat="1" x14ac:dyDescent="0.25">
      <c r="A65"/>
      <c r="B65" s="168" t="s">
        <v>36</v>
      </c>
      <c r="C65" s="1"/>
      <c r="D65" s="170" t="s">
        <v>80</v>
      </c>
      <c r="E65" s="192">
        <v>1.6E-2</v>
      </c>
      <c r="F65" s="1"/>
      <c r="G65" s="186">
        <f>G4+G10+G18+G19+G20+G22+G23+G28+G29+G30+G31+G32+G33+G34</f>
        <v>244789592.91</v>
      </c>
      <c r="H65" s="181">
        <f>G65/G68</f>
        <v>0.91504301401984223</v>
      </c>
      <c r="I65" s="1"/>
      <c r="J65" s="1" t="s">
        <v>36</v>
      </c>
      <c r="K65" s="1"/>
      <c r="L65" s="1"/>
      <c r="M65" s="426">
        <f>'[4]Consolidado fevereiro 2018'!$M$104</f>
        <v>838658112.35000002</v>
      </c>
      <c r="N65" s="190">
        <f>M65/M68</f>
        <v>0.81890513514275298</v>
      </c>
      <c r="O65"/>
      <c r="P65" s="190"/>
      <c r="Q65"/>
      <c r="R65"/>
      <c r="S65"/>
      <c r="Y65"/>
    </row>
    <row r="66" spans="1:25" s="7" customFormat="1" x14ac:dyDescent="0.25">
      <c r="A66"/>
      <c r="B66" t="s">
        <v>47</v>
      </c>
      <c r="C66"/>
      <c r="D66" s="170" t="s">
        <v>80</v>
      </c>
      <c r="E66" s="192">
        <v>4.36E-2</v>
      </c>
      <c r="F66">
        <v>3.71</v>
      </c>
      <c r="G66" s="186">
        <f>G35+G36+G37+G42+G43+G46+G48</f>
        <v>22716514.66</v>
      </c>
      <c r="H66" s="181">
        <f>G66/G68</f>
        <v>8.4916142861329827E-2</v>
      </c>
      <c r="I66" s="1"/>
      <c r="J66" s="1" t="s">
        <v>47</v>
      </c>
      <c r="K66" s="1"/>
      <c r="L66" s="1"/>
      <c r="M66" s="426">
        <f>'[4]Consolidado fevereiro 2018'!$M$105</f>
        <v>184803995.55999997</v>
      </c>
      <c r="N66" s="190">
        <f>M66/M68</f>
        <v>0.18045129323905537</v>
      </c>
      <c r="O66"/>
      <c r="P66" s="190"/>
      <c r="Q66"/>
      <c r="R66"/>
      <c r="S66"/>
      <c r="Y66"/>
    </row>
    <row r="67" spans="1:25" s="7" customFormat="1" x14ac:dyDescent="0.25">
      <c r="A67"/>
      <c r="B67" t="s">
        <v>81</v>
      </c>
      <c r="C67"/>
      <c r="D67"/>
      <c r="E67" s="465"/>
      <c r="F67"/>
      <c r="G67" s="186">
        <f>G49</f>
        <v>10926.23</v>
      </c>
      <c r="H67" s="181">
        <f>G67/G68</f>
        <v>4.0843118827971993E-5</v>
      </c>
      <c r="I67" s="1"/>
      <c r="J67" s="1" t="s">
        <v>82</v>
      </c>
      <c r="K67" s="1"/>
      <c r="L67" s="1"/>
      <c r="M67" s="426">
        <f>'[4]Consolidado fevereiro 2018'!$M$106</f>
        <v>659095.34000000008</v>
      </c>
      <c r="N67" s="190">
        <f>M67/M68</f>
        <v>6.4357161819166746E-4</v>
      </c>
      <c r="O67"/>
      <c r="P67" s="190"/>
      <c r="Q67"/>
      <c r="R67"/>
      <c r="S67"/>
      <c r="Y67"/>
    </row>
    <row r="68" spans="1:25" s="7" customFormat="1" x14ac:dyDescent="0.25">
      <c r="A68"/>
      <c r="B68"/>
      <c r="C68"/>
      <c r="D68"/>
      <c r="E68" s="192">
        <v>1.8200000000000001E-2</v>
      </c>
      <c r="F68">
        <v>3.19</v>
      </c>
      <c r="G68" s="186">
        <f>G65+G66+G67</f>
        <v>267517033.79999998</v>
      </c>
      <c r="H68" s="181">
        <f>SUM(H65:H67)</f>
        <v>1</v>
      </c>
      <c r="I68" s="1"/>
      <c r="J68" s="125" t="s">
        <v>83</v>
      </c>
      <c r="K68" s="125"/>
      <c r="L68" s="125"/>
      <c r="M68" s="426">
        <f>M65+M66+M67</f>
        <v>1024121203.25</v>
      </c>
      <c r="N68" s="190">
        <f>N65+N66+N67</f>
        <v>1</v>
      </c>
      <c r="O68"/>
      <c r="P68" s="190"/>
      <c r="Q68"/>
      <c r="R68"/>
      <c r="S68"/>
      <c r="Y68"/>
    </row>
    <row r="69" spans="1:25" s="7" customFormat="1" x14ac:dyDescent="0.25">
      <c r="A69"/>
      <c r="B69"/>
      <c r="C69"/>
      <c r="D69"/>
      <c r="E69" s="195"/>
      <c r="F69"/>
      <c r="G69" s="1"/>
      <c r="H69" s="181"/>
      <c r="I69" s="1"/>
      <c r="J69" s="1"/>
      <c r="K69" s="1"/>
      <c r="L69" s="1"/>
      <c r="M69" s="184"/>
      <c r="N69" s="190"/>
      <c r="O69"/>
      <c r="P69" s="190"/>
      <c r="Q69"/>
      <c r="R69"/>
      <c r="S69"/>
      <c r="Y69"/>
    </row>
    <row r="70" spans="1:25" s="7" customFormat="1" x14ac:dyDescent="0.25">
      <c r="A70"/>
      <c r="B70"/>
      <c r="C70"/>
      <c r="D70"/>
      <c r="E70"/>
      <c r="F70"/>
      <c r="G70" s="1"/>
      <c r="H70" s="181"/>
      <c r="I70" s="1"/>
      <c r="J70" s="1"/>
      <c r="K70" s="1"/>
      <c r="L70" s="1"/>
      <c r="M70" s="184"/>
      <c r="N70" s="190"/>
      <c r="O70"/>
      <c r="P70" s="190"/>
      <c r="Q70"/>
      <c r="R70"/>
      <c r="S70"/>
      <c r="Y70"/>
    </row>
    <row r="71" spans="1:25" s="7" customFormat="1" x14ac:dyDescent="0.25">
      <c r="A71"/>
      <c r="B71"/>
      <c r="C71"/>
      <c r="D71"/>
      <c r="E71"/>
      <c r="F71"/>
      <c r="G71" s="1"/>
      <c r="H71" s="181"/>
      <c r="I71" s="1"/>
      <c r="J71" s="1"/>
      <c r="K71" s="1"/>
      <c r="L71" s="1"/>
      <c r="M71" s="184"/>
      <c r="N71" s="190"/>
      <c r="O71"/>
      <c r="P71" s="190"/>
      <c r="Q71"/>
      <c r="R71"/>
      <c r="S71"/>
      <c r="Y71"/>
    </row>
  </sheetData>
  <mergeCells count="28">
    <mergeCell ref="S5:S9"/>
    <mergeCell ref="P3:R3"/>
    <mergeCell ref="O5:O9"/>
    <mergeCell ref="P5:P9"/>
    <mergeCell ref="Q5:Q9"/>
    <mergeCell ref="R5:R9"/>
    <mergeCell ref="S39:S41"/>
    <mergeCell ref="O11:O17"/>
    <mergeCell ref="P11:P17"/>
    <mergeCell ref="Q11:Q17"/>
    <mergeCell ref="R11:R17"/>
    <mergeCell ref="S11:S17"/>
    <mergeCell ref="R44:R45"/>
    <mergeCell ref="S44:S45"/>
    <mergeCell ref="O50:O51"/>
    <mergeCell ref="P50:P51"/>
    <mergeCell ref="O24:O27"/>
    <mergeCell ref="P24:P27"/>
    <mergeCell ref="Q24:Q27"/>
    <mergeCell ref="O44:O45"/>
    <mergeCell ref="P44:P45"/>
    <mergeCell ref="Q44:Q45"/>
    <mergeCell ref="R24:R27"/>
    <mergeCell ref="S24:S27"/>
    <mergeCell ref="O39:O41"/>
    <mergeCell ref="P39:P41"/>
    <mergeCell ref="Q39:Q41"/>
    <mergeCell ref="R39:R41"/>
  </mergeCells>
  <printOptions horizontalCentered="1"/>
  <pageMargins left="0" right="0" top="0" bottom="0" header="0.19685039370078741" footer="0.3937007874015748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Metas</vt:lpstr>
      <vt:lpstr>FFPREV Janeiro 2018</vt:lpstr>
      <vt:lpstr>FFPREV Fevereiro 2018</vt:lpstr>
      <vt:lpstr>FFPREV Março 2018</vt:lpstr>
      <vt:lpstr>FFPREV Abril 2018</vt:lpstr>
      <vt:lpstr>FFPREV Maio 2018</vt:lpstr>
      <vt:lpstr>FFPREV Junho 2018</vt:lpstr>
      <vt:lpstr>FFPREV Julho 2018</vt:lpstr>
      <vt:lpstr>'FFPREV Abril 2018'!Area_de_impressao</vt:lpstr>
      <vt:lpstr>'FFPREV Fevereiro 2018'!Area_de_impressao</vt:lpstr>
      <vt:lpstr>'FFPREV Janeiro 2018'!Area_de_impressao</vt:lpstr>
      <vt:lpstr>'FFPREV Julho 2018'!Area_de_impressao</vt:lpstr>
      <vt:lpstr>'FFPREV Junho 2018'!Area_de_impressao</vt:lpstr>
      <vt:lpstr>'FFPREV Maio 2018'!Area_de_impressao</vt:lpstr>
      <vt:lpstr>'FFPREV Março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Gilmar Giraldini</dc:creator>
  <cp:lastModifiedBy>Antonio Gilmar Giraldini</cp:lastModifiedBy>
  <cp:lastPrinted>2018-08-22T14:58:10Z</cp:lastPrinted>
  <dcterms:created xsi:type="dcterms:W3CDTF">2018-02-05T20:25:49Z</dcterms:created>
  <dcterms:modified xsi:type="dcterms:W3CDTF">2018-08-22T17:24:46Z</dcterms:modified>
</cp:coreProperties>
</file>