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47601\Desktop\Arquivos download - Alvará ambiental\"/>
    </mc:Choice>
  </mc:AlternateContent>
  <xr:revisionPtr revIDLastSave="0" documentId="8_{CB1BF9C9-1DD8-4CB5-AF2F-B852AF691709}" xr6:coauthVersionLast="47" xr6:coauthVersionMax="47" xr10:uidLastSave="{00000000-0000-0000-0000-000000000000}"/>
  <workbookProtection lockStructure="1"/>
  <bookViews>
    <workbookView xWindow="2685" yWindow="2685" windowWidth="21570" windowHeight="11415" xr2:uid="{00000000-000D-0000-FFFF-FFFF00000000}"/>
  </bookViews>
  <sheets>
    <sheet name="Dados" sheetId="1" r:id="rId1"/>
    <sheet name="Relatóri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33" i="1" l="1"/>
  <c r="AK31" i="1"/>
  <c r="AK17" i="1"/>
  <c r="AL33" i="1"/>
  <c r="AL13" i="1"/>
  <c r="O68" i="2" l="1"/>
  <c r="O98" i="2" l="1"/>
  <c r="Q146" i="1"/>
  <c r="M160" i="1" l="1"/>
  <c r="M161" i="1"/>
  <c r="O71" i="2" s="1"/>
  <c r="H35" i="2"/>
  <c r="O101" i="2" l="1"/>
  <c r="O100" i="2"/>
  <c r="O99" i="2"/>
  <c r="O97" i="2"/>
  <c r="D98" i="2"/>
  <c r="D97" i="2"/>
  <c r="O89" i="2"/>
  <c r="R89" i="2" s="1"/>
  <c r="L86" i="2"/>
  <c r="H85" i="2"/>
  <c r="H84" i="2"/>
  <c r="S193" i="1"/>
  <c r="Y168" i="1"/>
  <c r="Y170" i="1"/>
  <c r="O82" i="2" s="1"/>
  <c r="AF179" i="1"/>
  <c r="Z157" i="1"/>
  <c r="Q206" i="1"/>
  <c r="O86" i="2" s="1"/>
  <c r="Q205" i="1"/>
  <c r="O85" i="2" s="1"/>
  <c r="Q204" i="1"/>
  <c r="O84" i="2" s="1"/>
  <c r="R185" i="1"/>
  <c r="Q185" i="1"/>
  <c r="H89" i="2"/>
  <c r="U75" i="2"/>
  <c r="U57" i="2"/>
  <c r="M57" i="2"/>
  <c r="O70" i="2"/>
  <c r="Q158" i="1"/>
  <c r="O66" i="2" s="1"/>
  <c r="Q157" i="1"/>
  <c r="O65" i="2" s="1"/>
  <c r="Q156" i="1"/>
  <c r="O64" i="2" s="1"/>
  <c r="Q155" i="1"/>
  <c r="O63" i="2" s="1"/>
  <c r="O81" i="2" l="1"/>
  <c r="Z168" i="1"/>
  <c r="Q208" i="1"/>
  <c r="S185" i="1"/>
  <c r="Z170" i="1" l="1"/>
  <c r="Q207" i="1"/>
  <c r="O87" i="2" s="1"/>
  <c r="AC208" i="1"/>
  <c r="S195" i="1" l="1"/>
  <c r="O83" i="2" s="1"/>
  <c r="AA208" i="1" l="1"/>
  <c r="Q203" i="1"/>
  <c r="R203" i="1" l="1"/>
  <c r="AF208" i="1"/>
  <c r="S197" i="1"/>
  <c r="Q209" i="1"/>
  <c r="O88" i="2" s="1"/>
  <c r="C90" i="2" l="1"/>
  <c r="R83" i="2"/>
  <c r="L210" i="1"/>
  <c r="H70" i="2" l="1"/>
  <c r="P158" i="1"/>
  <c r="L66" i="2" s="1"/>
  <c r="P156" i="1"/>
  <c r="L64" i="2" s="1"/>
  <c r="O156" i="1"/>
  <c r="H64" i="2" s="1"/>
  <c r="L65" i="2"/>
  <c r="L63" i="2"/>
  <c r="H66" i="2"/>
  <c r="H65" i="2"/>
  <c r="AL17" i="1"/>
  <c r="L52" i="2"/>
  <c r="L51" i="2"/>
  <c r="L50" i="2"/>
  <c r="L49" i="2"/>
  <c r="L48" i="2"/>
  <c r="H51" i="2"/>
  <c r="H50" i="2"/>
  <c r="H49" i="2"/>
  <c r="H48" i="2"/>
  <c r="M42" i="2"/>
  <c r="L33" i="2"/>
  <c r="L31" i="2"/>
  <c r="L29" i="2"/>
  <c r="L28" i="2"/>
  <c r="H31" i="2"/>
  <c r="M22" i="2"/>
  <c r="U16" i="2"/>
  <c r="U14" i="2"/>
  <c r="U12" i="2"/>
  <c r="N16" i="2"/>
  <c r="N14" i="2"/>
  <c r="N12" i="2"/>
  <c r="L10" i="2"/>
  <c r="Q6" i="2" l="1"/>
  <c r="J6" i="2"/>
  <c r="Z216" i="1" l="1"/>
  <c r="AB202" i="1"/>
  <c r="AB194" i="1"/>
  <c r="AG185" i="1"/>
  <c r="AC196" i="1"/>
  <c r="AB177" i="1"/>
  <c r="AB154" i="1"/>
  <c r="AE170" i="1"/>
  <c r="AB163" i="1"/>
  <c r="C71" i="2"/>
  <c r="AE145" i="1"/>
  <c r="AB145" i="1"/>
  <c r="R158" i="1"/>
  <c r="R66" i="2" s="1"/>
  <c r="R157" i="1"/>
  <c r="R65" i="2" s="1"/>
  <c r="R156" i="1"/>
  <c r="R64" i="2" s="1"/>
  <c r="R155" i="1"/>
  <c r="R63" i="2" s="1"/>
  <c r="O155" i="1"/>
  <c r="H63" i="2" s="1"/>
  <c r="AE139" i="1"/>
  <c r="AB139" i="1"/>
  <c r="AB136" i="1"/>
  <c r="AE132" i="1"/>
  <c r="R146" i="1"/>
  <c r="W146" i="1" s="1"/>
  <c r="W147" i="1" s="1"/>
  <c r="Y126" i="1"/>
  <c r="R139" i="1"/>
  <c r="Q139" i="1"/>
  <c r="Y122" i="1"/>
  <c r="Y124" i="1" s="1"/>
  <c r="R70" i="2" s="1"/>
  <c r="AB113" i="1"/>
  <c r="AJ104" i="1"/>
  <c r="AJ111" i="1"/>
  <c r="AJ110" i="1"/>
  <c r="AJ109" i="1"/>
  <c r="AJ108" i="1"/>
  <c r="AJ107" i="1"/>
  <c r="Z104" i="1"/>
  <c r="Z103" i="1"/>
  <c r="R117" i="1"/>
  <c r="R51" i="2" s="1"/>
  <c r="Q117" i="1"/>
  <c r="O51" i="2" s="1"/>
  <c r="Q116" i="1"/>
  <c r="R115" i="1"/>
  <c r="R49" i="2" s="1"/>
  <c r="Q115" i="1"/>
  <c r="O49" i="2" s="1"/>
  <c r="R114" i="1"/>
  <c r="R48" i="2" s="1"/>
  <c r="Q114" i="1"/>
  <c r="O48" i="2" s="1"/>
  <c r="S110" i="1"/>
  <c r="R107" i="1"/>
  <c r="AJ89" i="1"/>
  <c r="AJ88" i="1"/>
  <c r="AJ87" i="1"/>
  <c r="Z82" i="1"/>
  <c r="AJ86" i="1"/>
  <c r="AJ85" i="1"/>
  <c r="Y80" i="1"/>
  <c r="Q86" i="1"/>
  <c r="P86" i="1"/>
  <c r="L32" i="2" s="1"/>
  <c r="O86" i="1"/>
  <c r="H32" i="2" s="1"/>
  <c r="R85" i="1"/>
  <c r="R31" i="2" s="1"/>
  <c r="Q85" i="1"/>
  <c r="O31" i="2" s="1"/>
  <c r="Q84" i="1"/>
  <c r="O30" i="2" s="1"/>
  <c r="Q83" i="1"/>
  <c r="O83" i="1"/>
  <c r="H29" i="2" s="1"/>
  <c r="Q82" i="1"/>
  <c r="O28" i="2" s="1"/>
  <c r="O82" i="1"/>
  <c r="H28" i="2" s="1"/>
  <c r="AB72" i="1"/>
  <c r="S78" i="1"/>
  <c r="AB70" i="1"/>
  <c r="AB69" i="1"/>
  <c r="AB68" i="1"/>
  <c r="R75" i="1"/>
  <c r="Q87" i="1" s="1"/>
  <c r="O33" i="2" s="1"/>
  <c r="AB67" i="1"/>
  <c r="Z64" i="1"/>
  <c r="Y62" i="1"/>
  <c r="AQ60" i="1"/>
  <c r="AQ59" i="1"/>
  <c r="S56" i="1"/>
  <c r="AL41" i="1"/>
  <c r="AK41" i="1"/>
  <c r="AN39" i="1"/>
  <c r="AM39" i="1"/>
  <c r="AL39" i="1"/>
  <c r="AK39" i="1"/>
  <c r="AL35" i="1"/>
  <c r="AK35" i="1"/>
  <c r="R29" i="1"/>
  <c r="AL31" i="1"/>
  <c r="AN29" i="1"/>
  <c r="AM29" i="1"/>
  <c r="AL29" i="1"/>
  <c r="AK29" i="1"/>
  <c r="AN23" i="1"/>
  <c r="AM23" i="1"/>
  <c r="AL23" i="1"/>
  <c r="AK23" i="1"/>
  <c r="AL19" i="1"/>
  <c r="AK19" i="1"/>
  <c r="AL15" i="1"/>
  <c r="AK15" i="1"/>
  <c r="AN13" i="1"/>
  <c r="AM13" i="1"/>
  <c r="AK13" i="1"/>
  <c r="W148" i="1" l="1"/>
  <c r="S149" i="1" s="1"/>
  <c r="S146" i="1"/>
  <c r="R26" i="1"/>
  <c r="N8" i="2" s="1"/>
  <c r="U8" i="2"/>
  <c r="W139" i="1"/>
  <c r="S43" i="1"/>
  <c r="R14" i="2" s="1"/>
  <c r="S29" i="1"/>
  <c r="R8" i="2" s="1"/>
  <c r="R10" i="2" s="1"/>
  <c r="S79" i="1"/>
  <c r="O84" i="1" s="1"/>
  <c r="S26" i="1"/>
  <c r="S35" i="1" s="1"/>
  <c r="L12" i="2" s="1"/>
  <c r="S41" i="1"/>
  <c r="L14" i="2" s="1"/>
  <c r="S158" i="1"/>
  <c r="Y66" i="2"/>
  <c r="S156" i="1"/>
  <c r="Y64" i="2"/>
  <c r="Q118" i="1"/>
  <c r="O52" i="2" s="1"/>
  <c r="R116" i="1"/>
  <c r="R50" i="2" s="1"/>
  <c r="O50" i="2"/>
  <c r="R33" i="1"/>
  <c r="U10" i="2" s="1"/>
  <c r="R83" i="1"/>
  <c r="R29" i="2" s="1"/>
  <c r="O29" i="2"/>
  <c r="R31" i="1"/>
  <c r="N10" i="2" s="1"/>
  <c r="R86" i="1"/>
  <c r="R32" i="2" s="1"/>
  <c r="O32" i="2"/>
  <c r="AB157" i="1"/>
  <c r="AB175" i="1"/>
  <c r="AB204" i="1"/>
  <c r="AD204" i="1" s="1"/>
  <c r="AB161" i="1"/>
  <c r="AG175" i="1"/>
  <c r="AG145" i="1"/>
  <c r="AB165" i="1"/>
  <c r="AB71" i="1"/>
  <c r="R82" i="1"/>
  <c r="R28" i="2" s="1"/>
  <c r="AT60" i="1"/>
  <c r="L18" i="2"/>
  <c r="AT59" i="1"/>
  <c r="Y81" i="2"/>
  <c r="AA69" i="1"/>
  <c r="Z69" i="1"/>
  <c r="AG187" i="1"/>
  <c r="AR59" i="1" l="1"/>
  <c r="AP59" i="1"/>
  <c r="L8" i="2"/>
  <c r="W140" i="1"/>
  <c r="R18" i="2"/>
  <c r="P84" i="1"/>
  <c r="AL25" i="1"/>
  <c r="S37" i="1"/>
  <c r="R12" i="2" s="1"/>
  <c r="AG192" i="1"/>
  <c r="AR60" i="1"/>
  <c r="AP60" i="1"/>
  <c r="S126" i="1" s="1"/>
  <c r="AB172" i="1"/>
  <c r="AG189" i="1"/>
  <c r="W141" i="1" l="1"/>
  <c r="S142" i="1" s="1"/>
  <c r="O69" i="2" s="1"/>
  <c r="S139" i="1"/>
  <c r="S167" i="1"/>
  <c r="S173" i="1" s="1"/>
  <c r="O209" i="1" s="1"/>
  <c r="M59" i="2"/>
  <c r="Z173" i="1"/>
  <c r="S39" i="1"/>
  <c r="AK25" i="1" s="1"/>
  <c r="S46" i="1" s="1"/>
  <c r="S132" i="1"/>
  <c r="AS60" i="1" l="1"/>
  <c r="R16" i="2"/>
  <c r="M77" i="2"/>
  <c r="M75" i="2"/>
  <c r="H88" i="2"/>
  <c r="U59" i="2"/>
  <c r="H69" i="2"/>
  <c r="O159" i="1"/>
  <c r="R208" i="1"/>
  <c r="R88" i="2" s="1"/>
  <c r="R207" i="1"/>
  <c r="R87" i="2" s="1"/>
  <c r="R206" i="1"/>
  <c r="R86" i="2" s="1"/>
  <c r="R205" i="1"/>
  <c r="R85" i="2" s="1"/>
  <c r="R204" i="1"/>
  <c r="R84" i="2" s="1"/>
  <c r="R209" i="1"/>
  <c r="AS59" i="1"/>
  <c r="L16" i="2"/>
  <c r="AB132" i="1"/>
  <c r="AG132" i="1" s="1"/>
  <c r="AJ103" i="1"/>
  <c r="S69" i="1" l="1"/>
  <c r="L30" i="2" s="1"/>
  <c r="AB192" i="1"/>
  <c r="AG200" i="1" s="1"/>
  <c r="H30" i="2"/>
  <c r="S100" i="1"/>
  <c r="Z81" i="1" s="1"/>
  <c r="Z63" i="1" l="1"/>
  <c r="M24" i="2"/>
  <c r="O87" i="1"/>
  <c r="R87" i="1" s="1"/>
  <c r="R33" i="2" s="1"/>
  <c r="O118" i="1"/>
  <c r="R118" i="1" s="1"/>
  <c r="R52" i="2" s="1"/>
  <c r="R84" i="1"/>
  <c r="R30" i="2" s="1"/>
  <c r="M44" i="2"/>
  <c r="H33" i="2" l="1"/>
  <c r="H52" i="2"/>
  <c r="O67" i="2"/>
  <c r="AE136" i="1"/>
  <c r="Q159" i="1" l="1"/>
  <c r="R159" i="1" s="1"/>
  <c r="R69" i="2" s="1"/>
</calcChain>
</file>

<file path=xl/sharedStrings.xml><?xml version="1.0" encoding="utf-8"?>
<sst xmlns="http://schemas.openxmlformats.org/spreadsheetml/2006/main" count="666" uniqueCount="338">
  <si>
    <t>SISTEMA AUTÔNOMO DE TRATAMENTO E DISPOSIÇÃO DE EFLUENTES</t>
  </si>
  <si>
    <t>Parâmetros</t>
  </si>
  <si>
    <t xml:space="preserve">Tabela 1 - Contribuição per capita diária de esgoto C e de </t>
  </si>
  <si>
    <t>DEFINIÇÃO DOS PARÂMETROS</t>
  </si>
  <si>
    <t>lodo Fresco (Lf)  por tipo de prédio e ocupante</t>
  </si>
  <si>
    <t>Tabela Apoio</t>
  </si>
  <si>
    <t>Predio</t>
  </si>
  <si>
    <t xml:space="preserve">Contrib Esgoto </t>
  </si>
  <si>
    <t xml:space="preserve">Contrib Lodo Fresco </t>
  </si>
  <si>
    <t>1.Ocupantes Fixos</t>
  </si>
  <si>
    <t>1. Ocupantes fixos</t>
  </si>
  <si>
    <t>1)</t>
  </si>
  <si>
    <t>Resid. Padrão Alto</t>
  </si>
  <si>
    <t>C</t>
  </si>
  <si>
    <t>Padrão Alto</t>
  </si>
  <si>
    <t>litros/pes</t>
  </si>
  <si>
    <t>Ver tabela 1 - A contribuição de esgoto é definido de acordo com a  tipo de ocupação</t>
  </si>
  <si>
    <t>Resid. Padrão Médio</t>
  </si>
  <si>
    <t>Padrão Médio</t>
  </si>
  <si>
    <t>Resid. Padrão Baixo</t>
  </si>
  <si>
    <t>N</t>
  </si>
  <si>
    <t>Padrão Baixo</t>
  </si>
  <si>
    <t>a)</t>
  </si>
  <si>
    <t>Tipo Prédio e Ocupante</t>
  </si>
  <si>
    <t>Alojamento Provisório</t>
  </si>
  <si>
    <t>Fábrica em geral</t>
  </si>
  <si>
    <t>2. Ocupantes temporários</t>
  </si>
  <si>
    <t>Unidade de C</t>
  </si>
  <si>
    <t>Escritório</t>
  </si>
  <si>
    <t>Unidade de N</t>
  </si>
  <si>
    <t>b)</t>
  </si>
  <si>
    <t>Edifícios Públicos</t>
  </si>
  <si>
    <t>Escola (externatos) e locais de longa permanência</t>
  </si>
  <si>
    <t>2)</t>
  </si>
  <si>
    <t>N = Quantidade do elemento contribuinte</t>
  </si>
  <si>
    <t>Bares</t>
  </si>
  <si>
    <t>Quantidade de habitantes, clientes, funcionários, etc)</t>
  </si>
  <si>
    <t>Restaurantes e similares</t>
  </si>
  <si>
    <t>Lf</t>
  </si>
  <si>
    <t>Escola (externatos) e locais de</t>
  </si>
  <si>
    <t>Cinema, teatros e locais de curta permanência</t>
  </si>
  <si>
    <t>longa permanência</t>
  </si>
  <si>
    <t>Sanitários - Apenas acesso aberto ao público. Ex: estação rodoviária, ferroviária, estádio, etc.</t>
  </si>
  <si>
    <t>T</t>
  </si>
  <si>
    <t>litros/refeição</t>
  </si>
  <si>
    <t>3)</t>
  </si>
  <si>
    <t>CTot  =  Contribuição diária total  -  C x N</t>
  </si>
  <si>
    <t>litros/dia</t>
  </si>
  <si>
    <t>litros/lugar</t>
  </si>
  <si>
    <t>item 1 x item 2</t>
  </si>
  <si>
    <t xml:space="preserve">Norma </t>
  </si>
  <si>
    <t>litros/vaso</t>
  </si>
  <si>
    <t>Projeto</t>
  </si>
  <si>
    <t xml:space="preserve">Tabela 2 - Período de detenção (T) dos despejos, por faixa de </t>
  </si>
  <si>
    <t>a) +b)</t>
  </si>
  <si>
    <t>contribuição diária</t>
  </si>
  <si>
    <t>4)</t>
  </si>
  <si>
    <t>Lf = Contribuição de lodo fresco</t>
  </si>
  <si>
    <t>Contribuição Diária</t>
  </si>
  <si>
    <t xml:space="preserve"> Tempo de Detenção (T)</t>
  </si>
  <si>
    <t>Ver tabela 1 - Contribuição de acordo com a definição do item 1</t>
  </si>
  <si>
    <t>Dias</t>
  </si>
  <si>
    <t>Horas</t>
  </si>
  <si>
    <t>Até 1.500</t>
  </si>
  <si>
    <t>De 1.500 a 3.000</t>
  </si>
  <si>
    <t>De 3.001 a 4.500</t>
  </si>
  <si>
    <t>5)</t>
  </si>
  <si>
    <t xml:space="preserve">T  =  tempo de detenção do lodo   </t>
  </si>
  <si>
    <t>De 4.501 a 6.000</t>
  </si>
  <si>
    <t>Ver tabela 2 - Definido de acordo com a contribuição diária</t>
  </si>
  <si>
    <t>De 6.001 a 7.500</t>
  </si>
  <si>
    <t xml:space="preserve">       Ctot (item 3)</t>
  </si>
  <si>
    <t>De 7.501 a 9.000</t>
  </si>
  <si>
    <t>mais de 9.000</t>
  </si>
  <si>
    <t xml:space="preserve">Tabela 3 - Taxa de acumulção de lodo (K), em dias, por intervalo de limpeza  </t>
  </si>
  <si>
    <t>6)</t>
  </si>
  <si>
    <t>K  =  Taxa de acumulação do lodo</t>
  </si>
  <si>
    <t xml:space="preserve"> e temperatura do mês mais frio </t>
  </si>
  <si>
    <t>Ver tabela 3 - Definido de acordo com o intervalo de limpeza</t>
  </si>
  <si>
    <t>Intervalo entre limpeza (anos)</t>
  </si>
  <si>
    <t xml:space="preserve">           Valores de K por faixa de temp ambiente (t) °C</t>
  </si>
  <si>
    <t xml:space="preserve">       e temperatrura do mês mais frio</t>
  </si>
  <si>
    <t xml:space="preserve"> t &lt;= 10</t>
  </si>
  <si>
    <t>10 &lt;= t &gt;= 20</t>
  </si>
  <si>
    <t>t &gt; 20</t>
  </si>
  <si>
    <t>Selecione</t>
  </si>
  <si>
    <t xml:space="preserve">       Temp. entre 10° e 20°, para o </t>
  </si>
  <si>
    <t xml:space="preserve"> mês mais frio</t>
  </si>
  <si>
    <t xml:space="preserve">   Parâmetros</t>
  </si>
  <si>
    <t>LF</t>
  </si>
  <si>
    <t>K</t>
  </si>
  <si>
    <t>Cálculos da unidades</t>
  </si>
  <si>
    <t xml:space="preserve">      Norma       a)</t>
  </si>
  <si>
    <t>Cilíndrico</t>
  </si>
  <si>
    <t>Sim</t>
  </si>
  <si>
    <t>Prismático</t>
  </si>
  <si>
    <t xml:space="preserve">          b)</t>
  </si>
  <si>
    <t>Não</t>
  </si>
  <si>
    <t xml:space="preserve">      Projeto      a)</t>
  </si>
  <si>
    <t>Fossa Séptica</t>
  </si>
  <si>
    <t>NBR 7229/1993</t>
  </si>
  <si>
    <t>Tabela 4 - Profundida Útil mínima e máxima po faixa de volume útil</t>
  </si>
  <si>
    <t xml:space="preserve">V  =  Volume útil (litros) </t>
  </si>
  <si>
    <t xml:space="preserve">       V = 1000+N(C.T+K.Lf)</t>
  </si>
  <si>
    <t xml:space="preserve">                  Volume (litros):</t>
  </si>
  <si>
    <t>Volume útil (m³)</t>
  </si>
  <si>
    <t>Profund Útil</t>
  </si>
  <si>
    <t>Mínima (m)</t>
  </si>
  <si>
    <t>Máxima (m)</t>
  </si>
  <si>
    <t xml:space="preserve">Formato da fossa: </t>
  </si>
  <si>
    <t>Até 6,0</t>
  </si>
  <si>
    <t>Dimensões</t>
  </si>
  <si>
    <t>Norma</t>
  </si>
  <si>
    <t xml:space="preserve">De 6,0 a 10,0 </t>
  </si>
  <si>
    <t>Minimo</t>
  </si>
  <si>
    <t>Máximo</t>
  </si>
  <si>
    <t xml:space="preserve">Mais de 10,0 </t>
  </si>
  <si>
    <t>Cilíndrico (m)</t>
  </si>
  <si>
    <t>Prof (m)</t>
  </si>
  <si>
    <t>Diâm(m)</t>
  </si>
  <si>
    <t>Volume (litros)</t>
  </si>
  <si>
    <t xml:space="preserve">Diâmetro </t>
  </si>
  <si>
    <t>------</t>
  </si>
  <si>
    <t>Largura interna</t>
  </si>
  <si>
    <t>Diâmetro mínimo: 1,10m</t>
  </si>
  <si>
    <t xml:space="preserve">Profundidade </t>
  </si>
  <si>
    <t>Largura interna mínima:  0,80m</t>
  </si>
  <si>
    <t xml:space="preserve">3) </t>
  </si>
  <si>
    <t>Prismático (m)</t>
  </si>
  <si>
    <t>Larg (m)</t>
  </si>
  <si>
    <t>Compr(m)</t>
  </si>
  <si>
    <t>Vol (litros)</t>
  </si>
  <si>
    <t>Comprimento</t>
  </si>
  <si>
    <t>-------</t>
  </si>
  <si>
    <t>Relação comprimento/largura (tques prismáticos): minimo 2:1; máximo 4:1</t>
  </si>
  <si>
    <t xml:space="preserve">Relação Comp./Larg. </t>
  </si>
  <si>
    <t>2:1</t>
  </si>
  <si>
    <t>4:1</t>
  </si>
  <si>
    <t>Se for com câmaras múltiplas, ver itens 5.10 a 5.12 da norma</t>
  </si>
  <si>
    <t>Volume útil projeto</t>
  </si>
  <si>
    <t>Situação</t>
  </si>
  <si>
    <t>Distâncias horizontais mínimas</t>
  </si>
  <si>
    <t xml:space="preserve">a) 1,50 de construções, limites do terreno, sumidouros, valas de infiltração e ramal </t>
  </si>
  <si>
    <t>Diâmetro (m)</t>
  </si>
  <si>
    <t>----</t>
  </si>
  <si>
    <t>predial de água</t>
  </si>
  <si>
    <t>Largura interna (m)</t>
  </si>
  <si>
    <t>b) 3,0m de árvores e qquer ponto da rede pública de abastecimento de água</t>
  </si>
  <si>
    <t>Profundidade útil (m)</t>
  </si>
  <si>
    <t>c) 15,0m de poços freáticos e de corpos de água de qquer natureza</t>
  </si>
  <si>
    <t>Comprimento (m)</t>
  </si>
  <si>
    <t>Relação Comp./Largura</t>
  </si>
  <si>
    <t>Volume útil projeto (litros)</t>
  </si>
  <si>
    <t>Filtro Anaerobio</t>
  </si>
  <si>
    <t>NBR 13969/1997</t>
  </si>
  <si>
    <t>Filtro Anaeróbio</t>
  </si>
  <si>
    <t>Volume mínimo:  1000 litros</t>
  </si>
  <si>
    <t>V = 1,60.N.C.T</t>
  </si>
  <si>
    <t>Altura útil (altura do leito filtrante): 1,20m máx</t>
  </si>
  <si>
    <t xml:space="preserve">Formato do filtro: </t>
  </si>
  <si>
    <t>Altura máxima do fundo falso, incluindo espessura da laje: 0,60m</t>
  </si>
  <si>
    <t>Obs: altura útil máx. 1,20m</t>
  </si>
  <si>
    <t>Sumidouro</t>
  </si>
  <si>
    <t>Vala de Infiltração</t>
  </si>
  <si>
    <t>área Infiltração</t>
  </si>
  <si>
    <t>Disposição de Efluente</t>
  </si>
  <si>
    <t>Largura interna  (Recomendação)</t>
  </si>
  <si>
    <t>Área Infiltração</t>
  </si>
  <si>
    <t>Diâmetro minimo - 0,30m</t>
  </si>
  <si>
    <t>Ctot = N x C (litros/dia)</t>
  </si>
  <si>
    <t>Nº de sumidouros em operação</t>
  </si>
  <si>
    <t>Distância minima entre fundo do sumidouro e o nível do lençol freático - 1,50m</t>
  </si>
  <si>
    <t xml:space="preserve">Ci = Coef Infiltração ( litros/m²dia) </t>
  </si>
  <si>
    <t xml:space="preserve">Ci =  l/m²dia  </t>
  </si>
  <si>
    <t>Distância minima entre sumidouros - 1,50m</t>
  </si>
  <si>
    <t xml:space="preserve">Se for informado o tempo em minutos/centímetro de descida </t>
  </si>
  <si>
    <t>A = área Inflitração (m²)</t>
  </si>
  <si>
    <t xml:space="preserve">             A = Ctot/Ci</t>
  </si>
  <si>
    <t>Não informado</t>
  </si>
  <si>
    <t>(ensaio de infiltração):</t>
  </si>
  <si>
    <t>&gt; 1,50m</t>
  </si>
  <si>
    <t>&lt; 1,50m</t>
  </si>
  <si>
    <t xml:space="preserve">                 Coeficiente de infiltração pode ser calculado pela fórmula:</t>
  </si>
  <si>
    <t xml:space="preserve">Formato do Sumidouro: </t>
  </si>
  <si>
    <t xml:space="preserve">                 Ci = 490/ tempo+2,5</t>
  </si>
  <si>
    <t xml:space="preserve">A Norma recomenda que, na ocasião da substituição do sumidouro, por outro, </t>
  </si>
  <si>
    <t xml:space="preserve">Dimensões Cilíndrico </t>
  </si>
  <si>
    <t>A base(m²)</t>
  </si>
  <si>
    <t>A later(m²)</t>
  </si>
  <si>
    <t>A infilt.(m²)</t>
  </si>
  <si>
    <t xml:space="preserve">em virtude de eventual entupimento, as paredes do sumidouro substituído </t>
  </si>
  <si>
    <t>devem ficar, por pelo menos seis meses, em exposição ao ar livre.</t>
  </si>
  <si>
    <t>Qtdade =</t>
  </si>
  <si>
    <t xml:space="preserve">Desta maneira é solicitada a previsão, em planta, da localização de um segundo </t>
  </si>
  <si>
    <t>sumidouro, para possibilitar a sua implantação, caso seja necessário.</t>
  </si>
  <si>
    <t>Cálculo Prof.</t>
  </si>
  <si>
    <t>Área da Base= Pi x D²/4</t>
  </si>
  <si>
    <t xml:space="preserve">Dimensões Prismático </t>
  </si>
  <si>
    <t>Área Infil</t>
  </si>
  <si>
    <t>Área Base</t>
  </si>
  <si>
    <t>Profundi.</t>
  </si>
  <si>
    <t>Área lateral = (Pi x D x h)</t>
  </si>
  <si>
    <t xml:space="preserve">Mais de um sumidouro para </t>
  </si>
  <si>
    <t>Qtdade  =</t>
  </si>
  <si>
    <t>Cálculo proj</t>
  </si>
  <si>
    <t>operação?</t>
  </si>
  <si>
    <t>Diâmetro</t>
  </si>
  <si>
    <t xml:space="preserve">6) </t>
  </si>
  <si>
    <t>Altura da base do sumidouro até o lençol frreático</t>
  </si>
  <si>
    <t>Prof.</t>
  </si>
  <si>
    <t>Área latral</t>
  </si>
  <si>
    <t>Mais</t>
  </si>
  <si>
    <t>àrea base</t>
  </si>
  <si>
    <t>área lateral</t>
  </si>
  <si>
    <t>Área de Infiltração total (m²)</t>
  </si>
  <si>
    <t>1:1</t>
  </si>
  <si>
    <t>Profundidade(m)</t>
  </si>
  <si>
    <t xml:space="preserve">mín. 0,30m, da geratriz inferior do tubo até </t>
  </si>
  <si>
    <t xml:space="preserve"> o fundo da vala</t>
  </si>
  <si>
    <t>Largura(m)</t>
  </si>
  <si>
    <t>mín. 0,30m</t>
  </si>
  <si>
    <t>Diâmetro  Tubo(mm)</t>
  </si>
  <si>
    <t>min=100mm</t>
  </si>
  <si>
    <t>A = Ctot/Ci</t>
  </si>
  <si>
    <t>*</t>
  </si>
  <si>
    <t>Nº de valas -                         min. 2 valas</t>
  </si>
  <si>
    <t>Se min =2 valas, cada uma deve ter a</t>
  </si>
  <si>
    <t>capac. de 100% do total necessário</t>
  </si>
  <si>
    <t xml:space="preserve">Se utilizar 3 valas, cada uma deve ter </t>
  </si>
  <si>
    <t xml:space="preserve"> a capacidade de 50% do total necessário</t>
  </si>
  <si>
    <t>Largura (m)</t>
  </si>
  <si>
    <t>Tempo  máx. uso da vala</t>
  </si>
  <si>
    <t xml:space="preserve"> 6 meses</t>
  </si>
  <si>
    <t>Distância mín. entre eixos centrais das valas         2,0m</t>
  </si>
  <si>
    <r>
      <t xml:space="preserve">Distância mín. entre funda da vala e o lencol freático   </t>
    </r>
    <r>
      <rPr>
        <sz val="11"/>
        <color theme="1"/>
        <rFont val="Calibri"/>
        <family val="2"/>
        <scheme val="minor"/>
      </rPr>
      <t>1,50m</t>
    </r>
  </si>
  <si>
    <t>Instalar tubos de ventilação no incio e final do tubo distribuição</t>
  </si>
  <si>
    <t>não</t>
  </si>
  <si>
    <t>"1</t>
  </si>
  <si>
    <t>"3:1</t>
  </si>
  <si>
    <t>sim</t>
  </si>
  <si>
    <t>comp.</t>
  </si>
  <si>
    <t>Quantidade de elemento contribuinte</t>
  </si>
  <si>
    <t>Contribuição do lodo fresco</t>
  </si>
  <si>
    <t>T - Tempo de detenção do lodo</t>
  </si>
  <si>
    <t>K - Taxa de Acunulação do lodo</t>
  </si>
  <si>
    <t>Formato adotado</t>
  </si>
  <si>
    <t xml:space="preserve">      Coef.  Infil. (l/m²dia)</t>
  </si>
  <si>
    <t>Área de Infil. por sumid (m²)</t>
  </si>
  <si>
    <t>Dist. fundo / Lençol freát. (m)</t>
  </si>
  <si>
    <t>Nº min. valas p/ operação (un.)</t>
  </si>
  <si>
    <t xml:space="preserve">  Relatório de Análise - Tratamento e Disposição de Efluente</t>
  </si>
  <si>
    <t xml:space="preserve"> TRATAMENTO E DISPOSIÇÃO DE EFLUENTES</t>
  </si>
  <si>
    <t xml:space="preserve"> As seguintes distâncias horizontais mínimas</t>
  </si>
  <si>
    <t>C  =  Contribuição  díária por tipo de ocupação</t>
  </si>
  <si>
    <t>Contribuição diária por tipo de ocupação</t>
  </si>
  <si>
    <t>Contribuição diária  total</t>
  </si>
  <si>
    <t>dia</t>
  </si>
  <si>
    <t>Dados do Projeto</t>
  </si>
  <si>
    <t>Vol. mínimo (litros)</t>
  </si>
  <si>
    <t xml:space="preserve">O projeto atende as distâncias horizontais mínimas descritas ? </t>
  </si>
  <si>
    <t>a) 1,50m de construções, limites do terreno, sumidouros, valas de infiltração e ramal predial de água</t>
  </si>
  <si>
    <t>Filtro Anaeróbico</t>
  </si>
  <si>
    <t xml:space="preserve">  Selecione</t>
  </si>
  <si>
    <t xml:space="preserve">         Área de Infiltrção (m²)</t>
  </si>
  <si>
    <t xml:space="preserve">          Selecione</t>
  </si>
  <si>
    <t xml:space="preserve">        Selecione</t>
  </si>
  <si>
    <t xml:space="preserve">     Selecione</t>
  </si>
  <si>
    <t xml:space="preserve">             Entre com os dados</t>
  </si>
  <si>
    <t xml:space="preserve">                Entre com os dados</t>
  </si>
  <si>
    <t xml:space="preserve">              Entre com os dados</t>
  </si>
  <si>
    <t xml:space="preserve">         Entre com os dados</t>
  </si>
  <si>
    <t>Entre com o dado</t>
  </si>
  <si>
    <t xml:space="preserve">          Entre com o dado</t>
  </si>
  <si>
    <t>a operação?</t>
  </si>
  <si>
    <t xml:space="preserve">                    Entre com os dados</t>
  </si>
  <si>
    <t xml:space="preserve">         Int. limpeza (ano)</t>
  </si>
  <si>
    <t xml:space="preserve">  Área de Inf. minima (m²)</t>
  </si>
  <si>
    <t>Qtde sumidouros p/ operação (un)</t>
  </si>
  <si>
    <t xml:space="preserve">                  Volume (litros) =</t>
  </si>
  <si>
    <t xml:space="preserve">                      Ci -( l/m²dia)  =          </t>
  </si>
  <si>
    <t xml:space="preserve"> Área de Infiltração (m²) =</t>
  </si>
  <si>
    <t>Vala de infiltração</t>
  </si>
  <si>
    <t>Dimensiões da vala (m)</t>
  </si>
  <si>
    <t xml:space="preserve">Número de valas  </t>
  </si>
  <si>
    <t>Altura da base da vala até o lençol freático</t>
  </si>
  <si>
    <t>Área de infiltração de cada vala (m²)</t>
  </si>
  <si>
    <t>Nº de  vala(s) em operação (m²)</t>
  </si>
  <si>
    <t>Área de Infilt. por vala(s) em operação(m²)</t>
  </si>
  <si>
    <t>a inf. Total</t>
  </si>
  <si>
    <t>4) Número de valas</t>
  </si>
  <si>
    <t xml:space="preserve"> a) O número mínimo de valas deve ser de dois, cada uma com 100% da capacidade de infiltração, sendo uma</t>
  </si>
  <si>
    <t>Relação 1: 1</t>
  </si>
  <si>
    <t xml:space="preserve"> b) Pode ser optar por, no mínimo, três valas, cada uma com 50% da capacidade de infiltração, sendo duas </t>
  </si>
  <si>
    <t xml:space="preserve">       Relação 2: 1</t>
  </si>
  <si>
    <t xml:space="preserve">7) </t>
  </si>
  <si>
    <t xml:space="preserve">      para operação e outra reserva</t>
  </si>
  <si>
    <t xml:space="preserve">       para operação e uma reserva, devendo o uso ser alterando a cada três meses</t>
  </si>
  <si>
    <t xml:space="preserve">Número mínimo de  valas  em operação   </t>
  </si>
  <si>
    <t xml:space="preserve">Número de valas reserva </t>
  </si>
  <si>
    <t>Número total de valas</t>
  </si>
  <si>
    <t>Relação nº de vala EM OPERAÇÃO/ nº de valas RESERVA</t>
  </si>
  <si>
    <t>Relação nº valas operação /nº  valas reserva</t>
  </si>
  <si>
    <t xml:space="preserve">Área de infiltração total do sistema  (m²)                     </t>
  </si>
  <si>
    <t>Nº valas reserva (un.)</t>
  </si>
  <si>
    <t>Rel. Nº valas em operação / Nº  valas reserva</t>
  </si>
  <si>
    <t>Área de Infiltração de cada vala (m²)</t>
  </si>
  <si>
    <t>Área de Infilt. Total - Vala(s) em oper. (m²)</t>
  </si>
  <si>
    <t>Distância  do fundo / Lençol freát. (m)</t>
  </si>
  <si>
    <t xml:space="preserve">   Vol. Norma (litros)</t>
  </si>
  <si>
    <t xml:space="preserve">                             Área de Infiltração (l/m²dia)</t>
  </si>
  <si>
    <t xml:space="preserve">       Coef.  Infil (l/m²dia)</t>
  </si>
  <si>
    <t>Prop.</t>
  </si>
  <si>
    <t>Resp. Técnico</t>
  </si>
  <si>
    <t>CPF</t>
  </si>
  <si>
    <t>Órgão de classe</t>
  </si>
  <si>
    <t>Nº</t>
  </si>
  <si>
    <t>ART / RRT</t>
  </si>
  <si>
    <t>Dados do Proprietário</t>
  </si>
  <si>
    <t>Nome:</t>
  </si>
  <si>
    <t>CPF:</t>
  </si>
  <si>
    <t>Dados do Responsável Técnico</t>
  </si>
  <si>
    <r>
      <t xml:space="preserve">Órgão de Classe:  </t>
    </r>
    <r>
      <rPr>
        <b/>
        <sz val="12"/>
        <color rgb="FFFF0000"/>
        <rFont val="Calibri"/>
        <family val="2"/>
        <scheme val="minor"/>
      </rPr>
      <t>Selecione</t>
    </r>
  </si>
  <si>
    <t>CAU</t>
  </si>
  <si>
    <t>Número da ART/RRT:</t>
  </si>
  <si>
    <t>Unidade</t>
  </si>
  <si>
    <t>CREA</t>
  </si>
  <si>
    <t>ferroviária, estádio, etc.</t>
  </si>
  <si>
    <t>público. Ex: estação rodoviária, ferroviária, estádio, etc.</t>
  </si>
  <si>
    <t>SGA203</t>
  </si>
  <si>
    <t xml:space="preserve">* Referência: Tratamento de Esgotos Domésticos, Eduardo Pacheco Jordão, Constantino Arruda Pacheco </t>
  </si>
  <si>
    <t>Não há outra contribuição</t>
  </si>
  <si>
    <t xml:space="preserve">               OBS:</t>
  </si>
  <si>
    <t xml:space="preserve">    para apenas uma contribuição selecione "Não há outra contribuição"</t>
  </si>
  <si>
    <t>xxxxxxxxxxxx</t>
  </si>
  <si>
    <t>YYYYYYYYYY</t>
  </si>
  <si>
    <t>yyyyyyyyyyyyyyyyyyyyy</t>
  </si>
  <si>
    <t>111111111111111111111111111</t>
  </si>
  <si>
    <t xml:space="preserve">    para um tipo de contribuição inserir '"zero"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</si>
</sst>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R$&quot;\ #,##0.00;\-&quot;R$&quot;\ #,##0.00"/>
    <numFmt numFmtId="8" formatCode="&quot;R$&quot;\ #,##0.00;[Red]\-&quot;R$&quot;\ #,##0.00"/>
    <numFmt numFmtId="43" formatCode="_-* #,##0.00_-;\-* #,##0.00_-;_-* &quot;-&quot;??_-;_-@_-"/>
    <numFmt numFmtId="164" formatCode="#,##0.00_ ;\-#,##0.00\ "/>
    <numFmt numFmtId="165" formatCode="&quot;R$&quot;\ #,##0.00"/>
    <numFmt numFmtId="166" formatCode="000000000\-00"/>
    <numFmt numFmtId="167" formatCode="0.0"/>
    <numFmt numFmtId="168" formatCode="#,##0.0000_ ;\-#,##0.0000\ "/>
    <numFmt numFmtId="169" formatCode="#,##0.00000_ ;\-#,##0.00000\ 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ECF8A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Symbol"/>
      <family val="1"/>
      <charset val="2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FF0000"/>
      <name val="Times New Roman"/>
      <family val="1"/>
    </font>
    <font>
      <b/>
      <sz val="10"/>
      <color theme="1"/>
      <name val="Symbol"/>
      <family val="1"/>
      <charset val="2"/>
    </font>
    <font>
      <b/>
      <sz val="12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FF9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CF8A4"/>
        <bgColor indexed="64"/>
      </patternFill>
    </fill>
    <fill>
      <patternFill patternType="solid">
        <fgColor rgb="FFF6F6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D9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4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3" borderId="0" xfId="0" applyFill="1"/>
    <xf numFmtId="0" fontId="6" fillId="2" borderId="0" xfId="0" applyFont="1" applyFill="1"/>
    <xf numFmtId="0" fontId="0" fillId="2" borderId="0" xfId="0" applyFill="1" applyAlignment="1">
      <alignment horizontal="center"/>
    </xf>
    <xf numFmtId="0" fontId="7" fillId="2" borderId="0" xfId="0" applyFont="1" applyFill="1"/>
    <xf numFmtId="0" fontId="0" fillId="4" borderId="1" xfId="0" applyFill="1" applyBorder="1"/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4" fillId="5" borderId="1" xfId="0" applyFont="1" applyFill="1" applyBorder="1"/>
    <xf numFmtId="0" fontId="0" fillId="4" borderId="4" xfId="0" applyFill="1" applyBorder="1"/>
    <xf numFmtId="0" fontId="7" fillId="4" borderId="0" xfId="0" applyFont="1" applyFill="1"/>
    <xf numFmtId="0" fontId="0" fillId="4" borderId="0" xfId="0" applyFill="1"/>
    <xf numFmtId="0" fontId="0" fillId="4" borderId="5" xfId="0" applyFill="1" applyBorder="1"/>
    <xf numFmtId="0" fontId="0" fillId="5" borderId="4" xfId="0" applyFill="1" applyBorder="1"/>
    <xf numFmtId="0" fontId="7" fillId="4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4" fillId="3" borderId="0" xfId="0" applyFont="1" applyFill="1"/>
    <xf numFmtId="0" fontId="0" fillId="6" borderId="0" xfId="0" applyFill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/>
    <xf numFmtId="0" fontId="0" fillId="4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3" borderId="7" xfId="0" applyFont="1" applyFill="1" applyBorder="1" applyAlignment="1" applyProtection="1">
      <alignment horizontal="center"/>
      <protection locked="0"/>
    </xf>
    <xf numFmtId="0" fontId="0" fillId="5" borderId="4" xfId="0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horizontal="center"/>
    </xf>
    <xf numFmtId="0" fontId="4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9" fillId="4" borderId="0" xfId="0" applyFont="1" applyFill="1"/>
    <xf numFmtId="0" fontId="4" fillId="7" borderId="0" xfId="0" applyFont="1" applyFill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4" fillId="5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4" fillId="4" borderId="4" xfId="0" applyFont="1" applyFill="1" applyBorder="1"/>
    <xf numFmtId="0" fontId="0" fillId="4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" fillId="4" borderId="5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0" fillId="4" borderId="12" xfId="0" applyFill="1" applyBorder="1"/>
    <xf numFmtId="0" fontId="7" fillId="4" borderId="13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4" fillId="4" borderId="0" xfId="0" applyFont="1" applyFill="1"/>
    <xf numFmtId="0" fontId="4" fillId="4" borderId="5" xfId="0" applyFont="1" applyFill="1" applyBorder="1"/>
    <xf numFmtId="0" fontId="7" fillId="5" borderId="4" xfId="0" applyFont="1" applyFill="1" applyBorder="1" applyAlignment="1">
      <alignment vertical="center"/>
    </xf>
    <xf numFmtId="0" fontId="9" fillId="4" borderId="5" xfId="0" applyFont="1" applyFill="1" applyBorder="1"/>
    <xf numFmtId="0" fontId="9" fillId="2" borderId="0" xfId="0" applyFont="1" applyFill="1"/>
    <xf numFmtId="0" fontId="4" fillId="5" borderId="4" xfId="0" applyFont="1" applyFill="1" applyBorder="1"/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9" fillId="5" borderId="4" xfId="0" applyFont="1" applyFill="1" applyBorder="1"/>
    <xf numFmtId="0" fontId="0" fillId="5" borderId="0" xfId="0" applyFill="1"/>
    <xf numFmtId="43" fontId="0" fillId="5" borderId="0" xfId="1" applyFont="1" applyFill="1" applyBorder="1"/>
    <xf numFmtId="43" fontId="0" fillId="5" borderId="0" xfId="0" applyNumberFormat="1" applyFill="1"/>
    <xf numFmtId="0" fontId="4" fillId="2" borderId="7" xfId="0" applyFont="1" applyFill="1" applyBorder="1" applyAlignment="1">
      <alignment horizontal="center"/>
    </xf>
    <xf numFmtId="2" fontId="12" fillId="3" borderId="12" xfId="0" applyNumberFormat="1" applyFont="1" applyFill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left"/>
    </xf>
    <xf numFmtId="0" fontId="14" fillId="4" borderId="0" xfId="0" applyFont="1" applyFill="1"/>
    <xf numFmtId="2" fontId="14" fillId="7" borderId="0" xfId="0" applyNumberFormat="1" applyFont="1" applyFill="1" applyProtection="1">
      <protection locked="0"/>
    </xf>
    <xf numFmtId="2" fontId="12" fillId="7" borderId="0" xfId="0" applyNumberFormat="1" applyFont="1" applyFill="1" applyProtection="1">
      <protection locked="0"/>
    </xf>
    <xf numFmtId="2" fontId="12" fillId="3" borderId="14" xfId="0" applyNumberFormat="1" applyFont="1" applyFill="1" applyBorder="1" applyAlignment="1" applyProtection="1">
      <alignment horizontal="center"/>
      <protection locked="0"/>
    </xf>
    <xf numFmtId="43" fontId="0" fillId="4" borderId="24" xfId="1" applyFont="1" applyFill="1" applyBorder="1" applyAlignment="1">
      <alignment horizontal="center"/>
    </xf>
    <xf numFmtId="2" fontId="0" fillId="7" borderId="0" xfId="0" applyNumberFormat="1" applyFill="1"/>
    <xf numFmtId="0" fontId="17" fillId="0" borderId="25" xfId="0" applyFont="1" applyBorder="1"/>
    <xf numFmtId="0" fontId="16" fillId="4" borderId="1" xfId="0" applyFont="1" applyFill="1" applyBorder="1" applyAlignment="1">
      <alignment vertical="center"/>
    </xf>
    <xf numFmtId="0" fontId="16" fillId="4" borderId="2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16" fillId="4" borderId="12" xfId="0" applyFont="1" applyFill="1" applyBorder="1" applyAlignment="1">
      <alignment vertical="center"/>
    </xf>
    <xf numFmtId="0" fontId="16" fillId="4" borderId="13" xfId="0" applyFont="1" applyFill="1" applyBorder="1" applyAlignment="1">
      <alignment vertical="center"/>
    </xf>
    <xf numFmtId="2" fontId="16" fillId="4" borderId="12" xfId="0" applyNumberFormat="1" applyFont="1" applyFill="1" applyBorder="1" applyAlignment="1">
      <alignment horizontal="center" vertical="center"/>
    </xf>
    <xf numFmtId="2" fontId="16" fillId="4" borderId="7" xfId="0" applyNumberFormat="1" applyFont="1" applyFill="1" applyBorder="1" applyAlignment="1">
      <alignment horizontal="center" vertical="center"/>
    </xf>
    <xf numFmtId="0" fontId="13" fillId="4" borderId="6" xfId="0" applyFont="1" applyFill="1" applyBorder="1"/>
    <xf numFmtId="0" fontId="4" fillId="4" borderId="8" xfId="0" applyFont="1" applyFill="1" applyBorder="1"/>
    <xf numFmtId="2" fontId="13" fillId="4" borderId="6" xfId="0" applyNumberFormat="1" applyFont="1" applyFill="1" applyBorder="1" applyAlignment="1">
      <alignment horizontal="center" vertical="center" wrapText="1"/>
    </xf>
    <xf numFmtId="3" fontId="13" fillId="4" borderId="7" xfId="0" quotePrefix="1" applyNumberFormat="1" applyFont="1" applyFill="1" applyBorder="1" applyAlignment="1">
      <alignment horizontal="center" vertical="center" wrapText="1"/>
    </xf>
    <xf numFmtId="2" fontId="13" fillId="4" borderId="7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/>
    </xf>
    <xf numFmtId="0" fontId="0" fillId="2" borderId="0" xfId="0" applyFill="1" applyAlignment="1">
      <alignment horizontal="center" vertical="top"/>
    </xf>
    <xf numFmtId="0" fontId="18" fillId="6" borderId="4" xfId="0" applyFont="1" applyFill="1" applyBorder="1" applyAlignment="1">
      <alignment horizontal="left"/>
    </xf>
    <xf numFmtId="0" fontId="13" fillId="4" borderId="12" xfId="0" applyFont="1" applyFill="1" applyBorder="1"/>
    <xf numFmtId="0" fontId="4" fillId="4" borderId="13" xfId="0" applyFont="1" applyFill="1" applyBorder="1"/>
    <xf numFmtId="3" fontId="13" fillId="4" borderId="15" xfId="0" quotePrefix="1" applyNumberFormat="1" applyFont="1" applyFill="1" applyBorder="1" applyAlignment="1">
      <alignment horizontal="center" vertical="center" wrapText="1"/>
    </xf>
    <xf numFmtId="2" fontId="13" fillId="4" borderId="14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/>
    </xf>
    <xf numFmtId="2" fontId="19" fillId="4" borderId="6" xfId="0" applyNumberFormat="1" applyFont="1" applyFill="1" applyBorder="1" applyAlignment="1">
      <alignment horizontal="center" vertical="center" wrapText="1"/>
    </xf>
    <xf numFmtId="2" fontId="19" fillId="4" borderId="7" xfId="0" applyNumberFormat="1" applyFont="1" applyFill="1" applyBorder="1" applyAlignment="1">
      <alignment horizontal="center" vertical="center" wrapText="1"/>
    </xf>
    <xf numFmtId="2" fontId="13" fillId="4" borderId="12" xfId="0" quotePrefix="1" applyNumberFormat="1" applyFont="1" applyFill="1" applyBorder="1" applyAlignment="1">
      <alignment horizontal="center" vertical="center" wrapText="1"/>
    </xf>
    <xf numFmtId="2" fontId="13" fillId="4" borderId="15" xfId="0" quotePrefix="1" applyNumberFormat="1" applyFont="1" applyFill="1" applyBorder="1" applyAlignment="1">
      <alignment horizontal="center" vertical="center"/>
    </xf>
    <xf numFmtId="0" fontId="13" fillId="4" borderId="4" xfId="0" applyFont="1" applyFill="1" applyBorder="1"/>
    <xf numFmtId="2" fontId="13" fillId="4" borderId="12" xfId="0" quotePrefix="1" applyNumberFormat="1" applyFont="1" applyFill="1" applyBorder="1" applyAlignment="1">
      <alignment horizontal="center"/>
    </xf>
    <xf numFmtId="2" fontId="13" fillId="4" borderId="7" xfId="0" quotePrefix="1" applyNumberFormat="1" applyFont="1" applyFill="1" applyBorder="1" applyAlignment="1">
      <alignment horizontal="center"/>
    </xf>
    <xf numFmtId="2" fontId="13" fillId="4" borderId="5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164" fontId="13" fillId="4" borderId="7" xfId="1" applyNumberFormat="1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4" borderId="14" xfId="0" applyFill="1" applyBorder="1"/>
    <xf numFmtId="0" fontId="0" fillId="5" borderId="12" xfId="0" applyFill="1" applyBorder="1"/>
    <xf numFmtId="0" fontId="0" fillId="5" borderId="1" xfId="0" applyFill="1" applyBorder="1"/>
    <xf numFmtId="0" fontId="6" fillId="4" borderId="0" xfId="0" applyFont="1" applyFill="1"/>
    <xf numFmtId="43" fontId="1" fillId="4" borderId="7" xfId="1" applyFont="1" applyFill="1" applyBorder="1"/>
    <xf numFmtId="0" fontId="17" fillId="0" borderId="26" xfId="0" applyFont="1" applyBorder="1"/>
    <xf numFmtId="0" fontId="10" fillId="4" borderId="0" xfId="0" applyFont="1" applyFill="1" applyAlignment="1">
      <alignment horizontal="left"/>
    </xf>
    <xf numFmtId="0" fontId="3" fillId="4" borderId="0" xfId="0" applyFont="1" applyFill="1"/>
    <xf numFmtId="0" fontId="10" fillId="4" borderId="0" xfId="0" applyFont="1" applyFill="1"/>
    <xf numFmtId="2" fontId="13" fillId="4" borderId="6" xfId="0" quotePrefix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19" fillId="4" borderId="6" xfId="0" quotePrefix="1" applyNumberFormat="1" applyFont="1" applyFill="1" applyBorder="1" applyAlignment="1">
      <alignment horizontal="center" vertical="center" wrapText="1"/>
    </xf>
    <xf numFmtId="43" fontId="13" fillId="4" borderId="7" xfId="1" applyFont="1" applyFill="1" applyBorder="1" applyAlignment="1">
      <alignment horizontal="center" vertical="center"/>
    </xf>
    <xf numFmtId="0" fontId="4" fillId="4" borderId="14" xfId="0" applyFont="1" applyFill="1" applyBorder="1"/>
    <xf numFmtId="0" fontId="4" fillId="5" borderId="12" xfId="0" applyFont="1" applyFill="1" applyBorder="1"/>
    <xf numFmtId="0" fontId="13" fillId="7" borderId="13" xfId="0" applyFont="1" applyFill="1" applyBorder="1" applyAlignment="1">
      <alignment horizontal="center" vertical="center"/>
    </xf>
    <xf numFmtId="164" fontId="16" fillId="7" borderId="13" xfId="1" applyNumberFormat="1" applyFont="1" applyFill="1" applyBorder="1" applyAlignment="1">
      <alignment horizontal="center" vertical="center" wrapText="1"/>
    </xf>
    <xf numFmtId="2" fontId="12" fillId="7" borderId="13" xfId="0" applyNumberFormat="1" applyFont="1" applyFill="1" applyBorder="1" applyProtection="1">
      <protection locked="0"/>
    </xf>
    <xf numFmtId="0" fontId="4" fillId="2" borderId="0" xfId="0" applyFont="1" applyFill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/>
    </xf>
    <xf numFmtId="0" fontId="0" fillId="2" borderId="13" xfId="0" applyFill="1" applyBorder="1"/>
    <xf numFmtId="0" fontId="6" fillId="4" borderId="2" xfId="0" applyFont="1" applyFill="1" applyBorder="1"/>
    <xf numFmtId="0" fontId="0" fillId="4" borderId="3" xfId="0" applyFill="1" applyBorder="1"/>
    <xf numFmtId="43" fontId="0" fillId="4" borderId="7" xfId="1" applyFont="1" applyFill="1" applyBorder="1"/>
    <xf numFmtId="2" fontId="0" fillId="3" borderId="7" xfId="0" applyNumberFormat="1" applyFill="1" applyBorder="1" applyProtection="1">
      <protection locked="0"/>
    </xf>
    <xf numFmtId="2" fontId="0" fillId="7" borderId="0" xfId="0" applyNumberFormat="1" applyFill="1" applyProtection="1">
      <protection locked="0"/>
    </xf>
    <xf numFmtId="2" fontId="0" fillId="4" borderId="7" xfId="0" applyNumberFormat="1" applyFill="1" applyBorder="1"/>
    <xf numFmtId="0" fontId="4" fillId="2" borderId="6" xfId="0" applyFont="1" applyFill="1" applyBorder="1"/>
    <xf numFmtId="0" fontId="4" fillId="2" borderId="7" xfId="0" applyFont="1" applyFill="1" applyBorder="1"/>
    <xf numFmtId="2" fontId="12" fillId="3" borderId="15" xfId="0" applyNumberFormat="1" applyFont="1" applyFill="1" applyBorder="1" applyAlignment="1" applyProtection="1">
      <alignment horizontal="center"/>
      <protection locked="0"/>
    </xf>
    <xf numFmtId="164" fontId="0" fillId="4" borderId="7" xfId="1" applyNumberFormat="1" applyFont="1" applyFill="1" applyBorder="1" applyAlignment="1"/>
    <xf numFmtId="0" fontId="0" fillId="3" borderId="7" xfId="0" applyFill="1" applyBorder="1" applyAlignment="1" applyProtection="1">
      <alignment horizontal="center"/>
      <protection locked="0"/>
    </xf>
    <xf numFmtId="0" fontId="3" fillId="4" borderId="4" xfId="0" applyFont="1" applyFill="1" applyBorder="1"/>
    <xf numFmtId="3" fontId="16" fillId="4" borderId="7" xfId="0" quotePrefix="1" applyNumberFormat="1" applyFont="1" applyFill="1" applyBorder="1" applyAlignment="1">
      <alignment horizontal="center" vertical="center" wrapText="1"/>
    </xf>
    <xf numFmtId="2" fontId="10" fillId="4" borderId="7" xfId="0" applyNumberFormat="1" applyFont="1" applyFill="1" applyBorder="1" applyAlignment="1">
      <alignment horizontal="center"/>
    </xf>
    <xf numFmtId="2" fontId="16" fillId="4" borderId="14" xfId="0" applyNumberFormat="1" applyFont="1" applyFill="1" applyBorder="1" applyAlignment="1">
      <alignment horizontal="center" vertical="center" wrapText="1"/>
    </xf>
    <xf numFmtId="0" fontId="22" fillId="5" borderId="0" xfId="0" applyFont="1" applyFill="1" applyAlignment="1">
      <alignment vertical="center" wrapText="1"/>
    </xf>
    <xf numFmtId="2" fontId="19" fillId="4" borderId="7" xfId="0" quotePrefix="1" applyNumberFormat="1" applyFont="1" applyFill="1" applyBorder="1" applyAlignment="1">
      <alignment horizontal="center" vertical="center" wrapText="1"/>
    </xf>
    <xf numFmtId="2" fontId="16" fillId="4" borderId="7" xfId="0" applyNumberFormat="1" applyFont="1" applyFill="1" applyBorder="1" applyAlignment="1">
      <alignment horizontal="center" vertical="center" wrapText="1"/>
    </xf>
    <xf numFmtId="2" fontId="16" fillId="4" borderId="15" xfId="0" quotePrefix="1" applyNumberFormat="1" applyFont="1" applyFill="1" applyBorder="1" applyAlignment="1">
      <alignment horizontal="center" vertical="center"/>
    </xf>
    <xf numFmtId="164" fontId="16" fillId="4" borderId="7" xfId="1" applyNumberFormat="1" applyFont="1" applyFill="1" applyBorder="1" applyAlignment="1">
      <alignment horizontal="center" vertical="center" wrapText="1"/>
    </xf>
    <xf numFmtId="0" fontId="23" fillId="5" borderId="0" xfId="0" applyFont="1" applyFill="1" applyAlignment="1">
      <alignment vertical="center"/>
    </xf>
    <xf numFmtId="0" fontId="6" fillId="4" borderId="13" xfId="0" applyFont="1" applyFill="1" applyBorder="1"/>
    <xf numFmtId="0" fontId="23" fillId="5" borderId="13" xfId="0" applyFont="1" applyFill="1" applyBorder="1" applyAlignment="1">
      <alignment vertical="center"/>
    </xf>
    <xf numFmtId="164" fontId="0" fillId="4" borderId="7" xfId="1" applyNumberFormat="1" applyFont="1" applyFill="1" applyBorder="1" applyAlignment="1">
      <alignment horizontal="center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7" borderId="0" xfId="0" applyNumberFormat="1" applyFill="1" applyAlignment="1" applyProtection="1">
      <alignment horizontal="center"/>
      <protection locked="0"/>
    </xf>
    <xf numFmtId="0" fontId="10" fillId="4" borderId="4" xfId="0" applyFont="1" applyFill="1" applyBorder="1"/>
    <xf numFmtId="2" fontId="0" fillId="4" borderId="7" xfId="0" applyNumberFormat="1" applyFill="1" applyBorder="1" applyAlignment="1">
      <alignment horizontal="center"/>
    </xf>
    <xf numFmtId="0" fontId="0" fillId="4" borderId="0" xfId="0" applyFill="1" applyAlignment="1">
      <alignment vertical="center"/>
    </xf>
    <xf numFmtId="2" fontId="0" fillId="5" borderId="0" xfId="0" applyNumberFormat="1" applyFill="1" applyAlignment="1">
      <alignment horizontal="center"/>
    </xf>
    <xf numFmtId="0" fontId="13" fillId="4" borderId="0" xfId="0" applyFont="1" applyFill="1" applyAlignment="1">
      <alignment vertical="center"/>
    </xf>
    <xf numFmtId="1" fontId="0" fillId="4" borderId="7" xfId="0" applyNumberFormat="1" applyFill="1" applyBorder="1" applyAlignment="1">
      <alignment horizontal="center"/>
    </xf>
    <xf numFmtId="0" fontId="16" fillId="4" borderId="6" xfId="0" applyFont="1" applyFill="1" applyBorder="1"/>
    <xf numFmtId="0" fontId="16" fillId="4" borderId="8" xfId="0" applyFont="1" applyFill="1" applyBorder="1"/>
    <xf numFmtId="0" fontId="4" fillId="0" borderId="0" xfId="0" applyFont="1"/>
    <xf numFmtId="0" fontId="0" fillId="8" borderId="0" xfId="0" applyFill="1"/>
    <xf numFmtId="0" fontId="0" fillId="0" borderId="0" xfId="0" applyAlignment="1">
      <alignment vertical="center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2" fontId="16" fillId="0" borderId="0" xfId="0" applyNumberFormat="1" applyFont="1" applyAlignment="1">
      <alignment vertical="center" wrapText="1"/>
    </xf>
    <xf numFmtId="2" fontId="16" fillId="0" borderId="0" xfId="0" applyNumberFormat="1" applyFont="1" applyAlignment="1">
      <alignment vertical="center"/>
    </xf>
    <xf numFmtId="2" fontId="12" fillId="0" borderId="0" xfId="0" applyNumberFormat="1" applyFont="1"/>
    <xf numFmtId="0" fontId="13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25" fillId="0" borderId="0" xfId="0" applyNumberFormat="1" applyFont="1" applyAlignment="1">
      <alignment horizontal="center" vertical="center"/>
    </xf>
    <xf numFmtId="43" fontId="0" fillId="0" borderId="0" xfId="1" applyFont="1"/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 wrapText="1"/>
    </xf>
    <xf numFmtId="0" fontId="17" fillId="0" borderId="27" xfId="0" applyFont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vertical="center"/>
    </xf>
    <xf numFmtId="0" fontId="18" fillId="0" borderId="21" xfId="0" applyFont="1" applyBorder="1"/>
    <xf numFmtId="0" fontId="17" fillId="0" borderId="0" xfId="0" applyFont="1"/>
    <xf numFmtId="0" fontId="17" fillId="0" borderId="17" xfId="0" applyFont="1" applyBorder="1"/>
    <xf numFmtId="7" fontId="17" fillId="0" borderId="17" xfId="0" applyNumberFormat="1" applyFont="1" applyBorder="1" applyAlignment="1">
      <alignment vertical="center"/>
    </xf>
    <xf numFmtId="0" fontId="17" fillId="0" borderId="18" xfId="0" applyFont="1" applyBorder="1"/>
    <xf numFmtId="0" fontId="31" fillId="0" borderId="0" xfId="0" applyFont="1"/>
    <xf numFmtId="0" fontId="17" fillId="0" borderId="27" xfId="0" applyFont="1" applyBorder="1"/>
    <xf numFmtId="0" fontId="32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9" fillId="0" borderId="0" xfId="0" applyFont="1"/>
    <xf numFmtId="0" fontId="17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 indent="3"/>
    </xf>
    <xf numFmtId="0" fontId="0" fillId="0" borderId="0" xfId="0" applyAlignment="1">
      <alignment vertical="center" wrapText="1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7" fillId="3" borderId="0" xfId="0" applyFont="1" applyFill="1"/>
    <xf numFmtId="0" fontId="13" fillId="3" borderId="0" xfId="0" applyFont="1" applyFill="1"/>
    <xf numFmtId="2" fontId="13" fillId="3" borderId="0" xfId="0" quotePrefix="1" applyNumberFormat="1" applyFont="1" applyFill="1" applyAlignment="1">
      <alignment horizontal="center" vertical="center" wrapText="1"/>
    </xf>
    <xf numFmtId="164" fontId="13" fillId="3" borderId="0" xfId="1" applyNumberFormat="1" applyFont="1" applyFill="1" applyBorder="1" applyAlignment="1" applyProtection="1">
      <alignment horizontal="center" vertical="center" wrapText="1"/>
    </xf>
    <xf numFmtId="0" fontId="18" fillId="3" borderId="0" xfId="0" applyFont="1" applyFill="1" applyAlignment="1">
      <alignment horizont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16" xfId="0" applyFont="1" applyBorder="1" applyAlignment="1">
      <alignment vertical="center"/>
    </xf>
    <xf numFmtId="0" fontId="35" fillId="0" borderId="17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35" fillId="0" borderId="27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32" fillId="0" borderId="28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3" fontId="17" fillId="0" borderId="0" xfId="0" applyNumberFormat="1" applyFont="1" applyAlignment="1">
      <alignment vertical="center" wrapText="1"/>
    </xf>
    <xf numFmtId="0" fontId="17" fillId="0" borderId="2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7" fillId="0" borderId="28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center" wrapText="1"/>
    </xf>
    <xf numFmtId="2" fontId="13" fillId="0" borderId="0" xfId="0" applyNumberFormat="1" applyFont="1" applyAlignment="1">
      <alignment vertical="center" wrapText="1"/>
    </xf>
    <xf numFmtId="164" fontId="17" fillId="0" borderId="0" xfId="1" applyNumberFormat="1" applyFont="1" applyBorder="1" applyAlignment="1">
      <alignment vertical="center"/>
    </xf>
    <xf numFmtId="164" fontId="17" fillId="0" borderId="28" xfId="1" applyNumberFormat="1" applyFont="1" applyBorder="1" applyAlignment="1">
      <alignment vertical="center"/>
    </xf>
    <xf numFmtId="0" fontId="17" fillId="0" borderId="27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7" fillId="0" borderId="19" xfId="0" applyFont="1" applyBorder="1" applyAlignment="1">
      <alignment vertical="center"/>
    </xf>
    <xf numFmtId="0" fontId="17" fillId="0" borderId="22" xfId="0" applyFont="1" applyBorder="1" applyAlignment="1">
      <alignment vertical="center" wrapText="1"/>
    </xf>
    <xf numFmtId="2" fontId="17" fillId="0" borderId="0" xfId="0" applyNumberFormat="1" applyFont="1" applyAlignment="1">
      <alignment vertical="center" wrapText="1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7" fillId="0" borderId="17" xfId="0" applyFont="1" applyBorder="1" applyAlignment="1">
      <alignment vertical="top" wrapText="1"/>
    </xf>
    <xf numFmtId="2" fontId="17" fillId="0" borderId="17" xfId="0" applyNumberFormat="1" applyFont="1" applyBorder="1" applyAlignment="1">
      <alignment vertical="center" wrapText="1"/>
    </xf>
    <xf numFmtId="2" fontId="17" fillId="0" borderId="18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2" fontId="17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2" fontId="17" fillId="0" borderId="2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top" wrapText="1"/>
    </xf>
    <xf numFmtId="43" fontId="17" fillId="0" borderId="0" xfId="1" applyFont="1" applyBorder="1" applyAlignment="1">
      <alignment vertical="center"/>
    </xf>
    <xf numFmtId="43" fontId="17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3" fillId="0" borderId="23" xfId="0" applyFont="1" applyBorder="1"/>
    <xf numFmtId="0" fontId="4" fillId="0" borderId="25" xfId="0" applyFont="1" applyBorder="1"/>
    <xf numFmtId="0" fontId="13" fillId="0" borderId="27" xfId="0" applyFont="1" applyBorder="1"/>
    <xf numFmtId="0" fontId="17" fillId="0" borderId="28" xfId="0" applyFont="1" applyBorder="1"/>
    <xf numFmtId="0" fontId="13" fillId="0" borderId="1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7" fillId="0" borderId="21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164" fontId="17" fillId="3" borderId="0" xfId="1" applyNumberFormat="1" applyFont="1" applyFill="1" applyBorder="1" applyAlignment="1" applyProtection="1">
      <alignment horizontal="center" vertical="center" wrapText="1"/>
    </xf>
    <xf numFmtId="2" fontId="17" fillId="3" borderId="0" xfId="0" applyNumberFormat="1" applyFont="1" applyFill="1" applyAlignment="1">
      <alignment horizontal="center" vertical="center"/>
    </xf>
    <xf numFmtId="0" fontId="0" fillId="0" borderId="21" xfId="0" applyBorder="1"/>
    <xf numFmtId="0" fontId="13" fillId="0" borderId="21" xfId="0" applyFont="1" applyBorder="1" applyAlignment="1">
      <alignment horizontal="center" vertical="center"/>
    </xf>
    <xf numFmtId="2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2" fontId="17" fillId="0" borderId="17" xfId="1" applyNumberFormat="1" applyFont="1" applyBorder="1" applyAlignment="1">
      <alignment vertical="center" wrapText="1"/>
    </xf>
    <xf numFmtId="0" fontId="17" fillId="0" borderId="17" xfId="0" applyFont="1" applyBorder="1" applyAlignment="1">
      <alignment vertical="center"/>
    </xf>
    <xf numFmtId="2" fontId="17" fillId="0" borderId="18" xfId="0" applyNumberFormat="1" applyFont="1" applyBorder="1" applyAlignment="1">
      <alignment vertical="center" wrapText="1"/>
    </xf>
    <xf numFmtId="0" fontId="37" fillId="0" borderId="27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3" fillId="0" borderId="27" xfId="0" applyFont="1" applyBorder="1" applyAlignment="1">
      <alignment horizontal="center" vertical="center"/>
    </xf>
    <xf numFmtId="2" fontId="17" fillId="0" borderId="28" xfId="0" applyNumberFormat="1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/>
    <xf numFmtId="0" fontId="4" fillId="0" borderId="17" xfId="0" applyFont="1" applyBorder="1"/>
    <xf numFmtId="0" fontId="13" fillId="3" borderId="23" xfId="0" applyFont="1" applyFill="1" applyBorder="1"/>
    <xf numFmtId="0" fontId="4" fillId="3" borderId="25" xfId="0" applyFont="1" applyFill="1" applyBorder="1"/>
    <xf numFmtId="0" fontId="17" fillId="3" borderId="25" xfId="0" applyFont="1" applyFill="1" applyBorder="1"/>
    <xf numFmtId="0" fontId="17" fillId="3" borderId="26" xfId="0" applyFont="1" applyFill="1" applyBorder="1"/>
    <xf numFmtId="0" fontId="29" fillId="0" borderId="28" xfId="0" applyFont="1" applyBorder="1" applyAlignment="1">
      <alignment vertical="center" wrapText="1"/>
    </xf>
    <xf numFmtId="0" fontId="17" fillId="0" borderId="21" xfId="0" applyFont="1" applyBorder="1"/>
    <xf numFmtId="0" fontId="17" fillId="0" borderId="22" xfId="0" applyFont="1" applyBorder="1"/>
    <xf numFmtId="0" fontId="13" fillId="0" borderId="21" xfId="0" applyFont="1" applyBorder="1" applyAlignment="1">
      <alignment horizontal="center" vertical="center" wrapText="1"/>
    </xf>
    <xf numFmtId="164" fontId="13" fillId="0" borderId="21" xfId="1" applyNumberFormat="1" applyFont="1" applyBorder="1" applyAlignment="1">
      <alignment vertical="center" wrapText="1"/>
    </xf>
    <xf numFmtId="2" fontId="17" fillId="0" borderId="0" xfId="1" applyNumberFormat="1" applyFont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/>
    </xf>
    <xf numFmtId="164" fontId="17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center" vertical="center"/>
    </xf>
    <xf numFmtId="0" fontId="13" fillId="0" borderId="17" xfId="0" applyFont="1" applyBorder="1"/>
    <xf numFmtId="0" fontId="13" fillId="0" borderId="18" xfId="0" applyFont="1" applyBorder="1"/>
    <xf numFmtId="0" fontId="13" fillId="0" borderId="25" xfId="0" applyFont="1" applyBorder="1"/>
    <xf numFmtId="0" fontId="13" fillId="0" borderId="26" xfId="0" applyFont="1" applyBorder="1"/>
    <xf numFmtId="0" fontId="41" fillId="0" borderId="28" xfId="0" applyFont="1" applyBorder="1" applyAlignment="1">
      <alignment vertical="center" wrapText="1"/>
    </xf>
    <xf numFmtId="0" fontId="13" fillId="0" borderId="0" xfId="0" applyFont="1"/>
    <xf numFmtId="0" fontId="13" fillId="0" borderId="28" xfId="0" applyFont="1" applyBorder="1"/>
    <xf numFmtId="0" fontId="13" fillId="0" borderId="21" xfId="0" applyFont="1" applyBorder="1"/>
    <xf numFmtId="0" fontId="13" fillId="0" borderId="22" xfId="0" applyFont="1" applyBorder="1"/>
    <xf numFmtId="2" fontId="13" fillId="0" borderId="23" xfId="0" applyNumberFormat="1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2" fontId="41" fillId="0" borderId="21" xfId="0" applyNumberFormat="1" applyFont="1" applyBorder="1" applyAlignment="1">
      <alignment horizontal="center" vertical="center" wrapText="1"/>
    </xf>
    <xf numFmtId="3" fontId="41" fillId="0" borderId="21" xfId="0" quotePrefix="1" applyNumberFormat="1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vertical="center"/>
    </xf>
    <xf numFmtId="7" fontId="42" fillId="0" borderId="0" xfId="0" applyNumberFormat="1" applyFont="1" applyAlignment="1">
      <alignment vertical="center"/>
    </xf>
    <xf numFmtId="8" fontId="17" fillId="0" borderId="0" xfId="0" applyNumberFormat="1" applyFont="1" applyAlignment="1">
      <alignment vertical="center"/>
    </xf>
    <xf numFmtId="0" fontId="0" fillId="0" borderId="16" xfId="0" applyBorder="1" applyAlignment="1">
      <alignment horizontal="center"/>
    </xf>
    <xf numFmtId="0" fontId="42" fillId="0" borderId="17" xfId="0" applyFont="1" applyBorder="1" applyAlignment="1">
      <alignment vertical="center"/>
    </xf>
    <xf numFmtId="0" fontId="0" fillId="0" borderId="27" xfId="0" applyBorder="1" applyAlignment="1">
      <alignment horizontal="center"/>
    </xf>
    <xf numFmtId="0" fontId="36" fillId="0" borderId="0" xfId="0" applyFont="1"/>
    <xf numFmtId="0" fontId="24" fillId="0" borderId="0" xfId="0" applyFont="1"/>
    <xf numFmtId="0" fontId="0" fillId="0" borderId="28" xfId="0" applyBorder="1" applyAlignment="1">
      <alignment horizontal="center"/>
    </xf>
    <xf numFmtId="165" fontId="42" fillId="0" borderId="28" xfId="0" applyNumberFormat="1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2" fillId="0" borderId="28" xfId="0" applyFont="1" applyBorder="1" applyAlignment="1">
      <alignment vertical="center" wrapText="1"/>
    </xf>
    <xf numFmtId="164" fontId="13" fillId="0" borderId="0" xfId="1" applyNumberFormat="1" applyFont="1" applyBorder="1" applyAlignment="1">
      <alignment vertical="center" wrapText="1"/>
    </xf>
    <xf numFmtId="43" fontId="1" fillId="5" borderId="0" xfId="1" applyFont="1" applyFill="1" applyBorder="1"/>
    <xf numFmtId="164" fontId="17" fillId="0" borderId="0" xfId="0" applyNumberFormat="1" applyFont="1" applyAlignment="1">
      <alignment vertical="center"/>
    </xf>
    <xf numFmtId="0" fontId="4" fillId="5" borderId="0" xfId="0" applyFont="1" applyFill="1" applyAlignment="1">
      <alignment vertical="center"/>
    </xf>
    <xf numFmtId="2" fontId="13" fillId="5" borderId="0" xfId="0" quotePrefix="1" applyNumberFormat="1" applyFont="1" applyFill="1" applyAlignment="1">
      <alignment horizontal="center" vertical="center" wrapText="1"/>
    </xf>
    <xf numFmtId="164" fontId="13" fillId="5" borderId="0" xfId="1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14" fillId="0" borderId="7" xfId="0" applyFont="1" applyBorder="1" applyAlignment="1" applyProtection="1">
      <alignment horizontal="center"/>
      <protection locked="0"/>
    </xf>
    <xf numFmtId="164" fontId="13" fillId="4" borderId="6" xfId="1" quotePrefix="1" applyNumberFormat="1" applyFont="1" applyFill="1" applyBorder="1" applyAlignment="1">
      <alignment horizontal="center" vertical="center" wrapText="1"/>
    </xf>
    <xf numFmtId="2" fontId="13" fillId="3" borderId="0" xfId="0" quotePrefix="1" applyNumberFormat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2" fontId="18" fillId="3" borderId="0" xfId="0" applyNumberFormat="1" applyFont="1" applyFill="1" applyAlignment="1">
      <alignment horizontal="left" vertical="center"/>
    </xf>
    <xf numFmtId="2" fontId="17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2" fontId="41" fillId="0" borderId="0" xfId="0" applyNumberFormat="1" applyFont="1" applyAlignment="1">
      <alignment horizontal="center" vertical="center" wrapText="1"/>
    </xf>
    <xf numFmtId="3" fontId="41" fillId="0" borderId="0" xfId="0" quotePrefix="1" applyNumberFormat="1" applyFont="1" applyAlignment="1">
      <alignment horizontal="center" vertical="center" wrapText="1"/>
    </xf>
    <xf numFmtId="7" fontId="17" fillId="0" borderId="0" xfId="0" applyNumberFormat="1" applyFont="1" applyAlignment="1">
      <alignment vertical="center"/>
    </xf>
    <xf numFmtId="165" fontId="42" fillId="0" borderId="0" xfId="0" applyNumberFormat="1" applyFont="1" applyAlignment="1">
      <alignment vertical="center"/>
    </xf>
    <xf numFmtId="0" fontId="3" fillId="0" borderId="0" xfId="0" applyFont="1"/>
    <xf numFmtId="3" fontId="17" fillId="0" borderId="0" xfId="0" quotePrefix="1" applyNumberFormat="1" applyFont="1" applyAlignment="1">
      <alignment vertical="center" wrapText="1"/>
    </xf>
    <xf numFmtId="2" fontId="17" fillId="0" borderId="0" xfId="0" quotePrefix="1" applyNumberFormat="1" applyFont="1" applyAlignment="1">
      <alignment vertical="center" wrapText="1"/>
    </xf>
    <xf numFmtId="2" fontId="17" fillId="0" borderId="0" xfId="0" applyNumberFormat="1" applyFont="1"/>
    <xf numFmtId="2" fontId="17" fillId="3" borderId="0" xfId="0" quotePrefix="1" applyNumberFormat="1" applyFont="1" applyFill="1" applyAlignment="1">
      <alignment vertical="center" wrapText="1"/>
    </xf>
    <xf numFmtId="2" fontId="17" fillId="3" borderId="0" xfId="0" applyNumberFormat="1" applyFont="1" applyFill="1" applyAlignment="1">
      <alignment vertical="center" wrapText="1"/>
    </xf>
    <xf numFmtId="164" fontId="17" fillId="3" borderId="0" xfId="1" quotePrefix="1" applyNumberFormat="1" applyFont="1" applyFill="1" applyBorder="1" applyAlignment="1">
      <alignment vertical="center" wrapText="1"/>
    </xf>
    <xf numFmtId="1" fontId="17" fillId="3" borderId="0" xfId="0" applyNumberFormat="1" applyFont="1" applyFill="1" applyAlignment="1">
      <alignment vertical="center" wrapText="1"/>
    </xf>
    <xf numFmtId="1" fontId="17" fillId="3" borderId="0" xfId="0" quotePrefix="1" applyNumberFormat="1" applyFont="1" applyFill="1" applyAlignment="1">
      <alignment vertical="center" wrapText="1"/>
    </xf>
    <xf numFmtId="4" fontId="17" fillId="3" borderId="0" xfId="0" quotePrefix="1" applyNumberFormat="1" applyFont="1" applyFill="1" applyAlignment="1">
      <alignment vertical="center" wrapText="1"/>
    </xf>
    <xf numFmtId="0" fontId="17" fillId="3" borderId="0" xfId="0" applyFont="1" applyFill="1" applyAlignment="1">
      <alignment vertical="center" wrapText="1"/>
    </xf>
    <xf numFmtId="164" fontId="17" fillId="0" borderId="0" xfId="1" quotePrefix="1" applyNumberFormat="1" applyFont="1" applyFill="1" applyBorder="1" applyAlignment="1">
      <alignment wrapText="1"/>
    </xf>
    <xf numFmtId="164" fontId="17" fillId="0" borderId="0" xfId="1" applyNumberFormat="1" applyFont="1" applyBorder="1" applyAlignment="1">
      <alignment vertical="center" wrapText="1"/>
    </xf>
    <xf numFmtId="0" fontId="0" fillId="5" borderId="5" xfId="0" applyFill="1" applyBorder="1"/>
    <xf numFmtId="2" fontId="0" fillId="5" borderId="0" xfId="0" applyNumberFormat="1" applyFill="1"/>
    <xf numFmtId="0" fontId="10" fillId="2" borderId="0" xfId="0" applyFont="1" applyFill="1"/>
    <xf numFmtId="0" fontId="10" fillId="5" borderId="0" xfId="0" applyFont="1" applyFill="1"/>
    <xf numFmtId="164" fontId="10" fillId="7" borderId="0" xfId="1" applyNumberFormat="1" applyFont="1" applyFill="1" applyBorder="1" applyAlignment="1"/>
    <xf numFmtId="0" fontId="7" fillId="2" borderId="12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right" vertical="center"/>
    </xf>
    <xf numFmtId="0" fontId="42" fillId="0" borderId="27" xfId="0" applyFont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0" fillId="5" borderId="0" xfId="1" applyNumberFormat="1" applyFont="1" applyFill="1" applyBorder="1" applyAlignment="1">
      <alignment horizontal="center"/>
    </xf>
    <xf numFmtId="0" fontId="3" fillId="0" borderId="29" xfId="0" applyFont="1" applyBorder="1"/>
    <xf numFmtId="2" fontId="13" fillId="0" borderId="0" xfId="0" applyNumberFormat="1" applyFont="1" applyAlignment="1">
      <alignment horizontal="left" vertical="center"/>
    </xf>
    <xf numFmtId="0" fontId="4" fillId="5" borderId="4" xfId="0" applyFont="1" applyFill="1" applyBorder="1" applyAlignment="1">
      <alignment horizontal="left"/>
    </xf>
    <xf numFmtId="1" fontId="0" fillId="5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1" fontId="0" fillId="0" borderId="7" xfId="0" applyNumberFormat="1" applyBorder="1" applyAlignment="1" applyProtection="1">
      <alignment horizontal="center"/>
      <protection locked="0"/>
    </xf>
    <xf numFmtId="2" fontId="0" fillId="9" borderId="0" xfId="0" applyNumberFormat="1" applyFill="1" applyAlignment="1">
      <alignment horizontal="center"/>
    </xf>
    <xf numFmtId="0" fontId="12" fillId="0" borderId="7" xfId="0" applyFont="1" applyBorder="1" applyAlignment="1" applyProtection="1">
      <alignment horizontal="center"/>
      <protection locked="0"/>
    </xf>
    <xf numFmtId="0" fontId="16" fillId="4" borderId="6" xfId="0" applyFont="1" applyFill="1" applyBorder="1" applyAlignment="1">
      <alignment vertical="center"/>
    </xf>
    <xf numFmtId="0" fontId="16" fillId="4" borderId="8" xfId="0" applyFont="1" applyFill="1" applyBorder="1" applyAlignment="1">
      <alignment vertical="center"/>
    </xf>
    <xf numFmtId="2" fontId="19" fillId="4" borderId="15" xfId="0" quotePrefix="1" applyNumberFormat="1" applyFont="1" applyFill="1" applyBorder="1" applyAlignment="1">
      <alignment horizontal="center" vertical="center" wrapText="1"/>
    </xf>
    <xf numFmtId="2" fontId="13" fillId="4" borderId="7" xfId="0" quotePrefix="1" applyNumberFormat="1" applyFont="1" applyFill="1" applyBorder="1" applyAlignment="1">
      <alignment horizontal="center" vertical="center" wrapText="1"/>
    </xf>
    <xf numFmtId="2" fontId="13" fillId="4" borderId="7" xfId="0" quotePrefix="1" applyNumberFormat="1" applyFont="1" applyFill="1" applyBorder="1" applyAlignment="1">
      <alignment horizontal="center" vertical="center"/>
    </xf>
    <xf numFmtId="0" fontId="0" fillId="5" borderId="13" xfId="0" applyFill="1" applyBorder="1"/>
    <xf numFmtId="0" fontId="4" fillId="5" borderId="13" xfId="0" applyFont="1" applyFill="1" applyBorder="1"/>
    <xf numFmtId="0" fontId="0" fillId="5" borderId="14" xfId="0" applyFill="1" applyBorder="1"/>
    <xf numFmtId="2" fontId="12" fillId="5" borderId="0" xfId="0" applyNumberFormat="1" applyFont="1" applyFill="1" applyProtection="1">
      <protection locked="0"/>
    </xf>
    <xf numFmtId="2" fontId="12" fillId="5" borderId="0" xfId="0" applyNumberFormat="1" applyFont="1" applyFill="1" applyAlignment="1" applyProtection="1">
      <alignment horizontal="center"/>
      <protection locked="0"/>
    </xf>
    <xf numFmtId="2" fontId="12" fillId="5" borderId="0" xfId="0" applyNumberFormat="1" applyFont="1" applyFill="1" applyAlignment="1">
      <alignment horizontal="center"/>
    </xf>
    <xf numFmtId="43" fontId="0" fillId="5" borderId="0" xfId="1" applyFont="1" applyFill="1" applyBorder="1" applyAlignment="1" applyProtection="1">
      <alignment horizontal="center"/>
    </xf>
    <xf numFmtId="0" fontId="4" fillId="5" borderId="13" xfId="0" applyFont="1" applyFill="1" applyBorder="1" applyAlignment="1">
      <alignment horizontal="left"/>
    </xf>
    <xf numFmtId="1" fontId="0" fillId="5" borderId="13" xfId="0" applyNumberFormat="1" applyFill="1" applyBorder="1" applyAlignment="1">
      <alignment horizontal="center"/>
    </xf>
    <xf numFmtId="2" fontId="0" fillId="5" borderId="0" xfId="0" applyNumberFormat="1" applyFill="1" applyAlignment="1" applyProtection="1">
      <alignment horizontal="center"/>
      <protection locked="0"/>
    </xf>
    <xf numFmtId="4" fontId="12" fillId="3" borderId="6" xfId="0" applyNumberFormat="1" applyFont="1" applyFill="1" applyBorder="1" applyAlignment="1" applyProtection="1">
      <alignment horizontal="center"/>
      <protection locked="0"/>
    </xf>
    <xf numFmtId="4" fontId="12" fillId="3" borderId="15" xfId="0" applyNumberFormat="1" applyFont="1" applyFill="1" applyBorder="1" applyAlignment="1" applyProtection="1">
      <alignment horizontal="center"/>
      <protection locked="0"/>
    </xf>
    <xf numFmtId="4" fontId="12" fillId="3" borderId="14" xfId="0" applyNumberFormat="1" applyFont="1" applyFill="1" applyBorder="1" applyAlignment="1" applyProtection="1">
      <alignment horizontal="center"/>
      <protection locked="0"/>
    </xf>
    <xf numFmtId="4" fontId="12" fillId="4" borderId="15" xfId="0" applyNumberFormat="1" applyFont="1" applyFill="1" applyBorder="1" applyAlignment="1">
      <alignment horizontal="center"/>
    </xf>
    <xf numFmtId="4" fontId="12" fillId="4" borderId="14" xfId="0" applyNumberFormat="1" applyFont="1" applyFill="1" applyBorder="1" applyAlignment="1">
      <alignment horizontal="center"/>
    </xf>
    <xf numFmtId="4" fontId="0" fillId="4" borderId="24" xfId="1" applyNumberFormat="1" applyFont="1" applyFill="1" applyBorder="1" applyAlignment="1" applyProtection="1">
      <alignment horizontal="center"/>
    </xf>
    <xf numFmtId="0" fontId="16" fillId="3" borderId="23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center"/>
    </xf>
    <xf numFmtId="0" fontId="16" fillId="3" borderId="20" xfId="0" applyFont="1" applyFill="1" applyBorder="1" applyAlignment="1">
      <alignment vertical="center"/>
    </xf>
    <xf numFmtId="0" fontId="16" fillId="3" borderId="23" xfId="0" applyFont="1" applyFill="1" applyBorder="1"/>
    <xf numFmtId="0" fontId="16" fillId="3" borderId="25" xfId="0" applyFont="1" applyFill="1" applyBorder="1"/>
    <xf numFmtId="0" fontId="16" fillId="3" borderId="26" xfId="0" applyFont="1" applyFill="1" applyBorder="1"/>
    <xf numFmtId="0" fontId="16" fillId="0" borderId="16" xfId="0" applyFont="1" applyBorder="1"/>
    <xf numFmtId="0" fontId="26" fillId="0" borderId="17" xfId="0" applyFont="1" applyBorder="1"/>
    <xf numFmtId="0" fontId="15" fillId="0" borderId="17" xfId="0" applyFont="1" applyBorder="1"/>
    <xf numFmtId="0" fontId="15" fillId="0" borderId="18" xfId="0" applyFont="1" applyBorder="1"/>
    <xf numFmtId="0" fontId="16" fillId="0" borderId="23" xfId="0" applyFont="1" applyBorder="1"/>
    <xf numFmtId="0" fontId="16" fillId="0" borderId="25" xfId="0" applyFont="1" applyBorder="1"/>
    <xf numFmtId="0" fontId="15" fillId="3" borderId="26" xfId="0" applyFont="1" applyFill="1" applyBorder="1"/>
    <xf numFmtId="0" fontId="16" fillId="0" borderId="16" xfId="0" applyFont="1" applyBorder="1" applyAlignment="1">
      <alignment vertical="center"/>
    </xf>
    <xf numFmtId="0" fontId="16" fillId="0" borderId="0" xfId="0" applyFont="1"/>
    <xf numFmtId="0" fontId="15" fillId="3" borderId="28" xfId="0" applyFont="1" applyFill="1" applyBorder="1"/>
    <xf numFmtId="0" fontId="16" fillId="0" borderId="23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3" fillId="0" borderId="21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166" fontId="7" fillId="2" borderId="0" xfId="0" applyNumberFormat="1" applyFont="1" applyFill="1"/>
    <xf numFmtId="0" fontId="7" fillId="2" borderId="0" xfId="0" applyFont="1" applyFill="1" applyAlignment="1">
      <alignment horizontal="left"/>
    </xf>
    <xf numFmtId="2" fontId="18" fillId="0" borderId="17" xfId="0" applyNumberFormat="1" applyFont="1" applyBorder="1" applyAlignment="1">
      <alignment wrapText="1"/>
    </xf>
    <xf numFmtId="0" fontId="5" fillId="3" borderId="0" xfId="0" applyFont="1" applyFill="1"/>
    <xf numFmtId="0" fontId="5" fillId="3" borderId="0" xfId="0" applyFont="1" applyFill="1" applyAlignment="1">
      <alignment horizontal="left" vertical="center"/>
    </xf>
    <xf numFmtId="0" fontId="48" fillId="3" borderId="0" xfId="0" applyFont="1" applyFill="1"/>
    <xf numFmtId="0" fontId="5" fillId="3" borderId="0" xfId="0" applyFont="1" applyFill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horizontal="left" vertical="top"/>
    </xf>
    <xf numFmtId="0" fontId="4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2" fontId="5" fillId="3" borderId="0" xfId="0" applyNumberFormat="1" applyFont="1" applyFill="1"/>
    <xf numFmtId="2" fontId="2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43" fontId="2" fillId="3" borderId="0" xfId="1" applyFont="1" applyFill="1" applyBorder="1" applyAlignment="1">
      <alignment horizontal="center"/>
    </xf>
    <xf numFmtId="43" fontId="2" fillId="3" borderId="0" xfId="0" applyNumberFormat="1" applyFont="1" applyFill="1" applyAlignment="1">
      <alignment horizontal="center"/>
    </xf>
    <xf numFmtId="0" fontId="46" fillId="3" borderId="0" xfId="0" applyFont="1" applyFill="1"/>
    <xf numFmtId="0" fontId="47" fillId="3" borderId="0" xfId="0" applyFont="1" applyFill="1"/>
    <xf numFmtId="0" fontId="49" fillId="3" borderId="0" xfId="0" applyFont="1" applyFill="1"/>
    <xf numFmtId="0" fontId="5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>
      <alignment vertical="center"/>
    </xf>
    <xf numFmtId="0" fontId="51" fillId="3" borderId="0" xfId="0" applyFont="1" applyFill="1" applyAlignment="1">
      <alignment vertical="center"/>
    </xf>
    <xf numFmtId="2" fontId="50" fillId="3" borderId="0" xfId="0" applyNumberFormat="1" applyFont="1" applyFill="1" applyAlignment="1">
      <alignment vertical="center"/>
    </xf>
    <xf numFmtId="0" fontId="51" fillId="3" borderId="0" xfId="0" applyFont="1" applyFill="1" applyAlignment="1">
      <alignment vertical="center" wrapText="1"/>
    </xf>
    <xf numFmtId="0" fontId="52" fillId="3" borderId="0" xfId="0" applyFont="1" applyFill="1"/>
    <xf numFmtId="2" fontId="52" fillId="3" borderId="0" xfId="0" applyNumberFormat="1" applyFont="1" applyFill="1" applyAlignment="1">
      <alignment vertical="center" wrapText="1"/>
    </xf>
    <xf numFmtId="3" fontId="50" fillId="3" borderId="0" xfId="0" quotePrefix="1" applyNumberFormat="1" applyFont="1" applyFill="1" applyAlignment="1">
      <alignment vertical="center" wrapText="1"/>
    </xf>
    <xf numFmtId="2" fontId="51" fillId="3" borderId="0" xfId="0" applyNumberFormat="1" applyFont="1" applyFill="1" applyAlignment="1">
      <alignment vertical="center" wrapText="1"/>
    </xf>
    <xf numFmtId="2" fontId="52" fillId="3" borderId="0" xfId="0" quotePrefix="1" applyNumberFormat="1" applyFont="1" applyFill="1" applyAlignment="1">
      <alignment vertical="center" wrapText="1"/>
    </xf>
    <xf numFmtId="2" fontId="50" fillId="3" borderId="0" xfId="0" quotePrefix="1" applyNumberFormat="1" applyFont="1" applyFill="1" applyAlignment="1">
      <alignment horizontal="center" vertical="center"/>
    </xf>
    <xf numFmtId="2" fontId="5" fillId="3" borderId="0" xfId="0" quotePrefix="1" applyNumberFormat="1" applyFont="1" applyFill="1"/>
    <xf numFmtId="164" fontId="51" fillId="3" borderId="0" xfId="1" applyNumberFormat="1" applyFont="1" applyFill="1" applyBorder="1" applyAlignment="1">
      <alignment vertical="center" wrapText="1"/>
    </xf>
    <xf numFmtId="0" fontId="52" fillId="3" borderId="0" xfId="0" quotePrefix="1" applyFont="1" applyFill="1" applyAlignment="1">
      <alignment horizontal="center"/>
    </xf>
    <xf numFmtId="0" fontId="53" fillId="3" borderId="0" xfId="0" applyFont="1" applyFill="1"/>
    <xf numFmtId="0" fontId="5" fillId="3" borderId="0" xfId="0" quotePrefix="1" applyFont="1" applyFill="1"/>
    <xf numFmtId="0" fontId="7" fillId="3" borderId="7" xfId="0" applyFont="1" applyFill="1" applyBorder="1" applyAlignment="1" applyProtection="1">
      <alignment horizontal="left"/>
      <protection locked="0"/>
    </xf>
    <xf numFmtId="1" fontId="5" fillId="3" borderId="0" xfId="0" applyNumberFormat="1" applyFont="1" applyFill="1"/>
    <xf numFmtId="43" fontId="5" fillId="3" borderId="0" xfId="0" applyNumberFormat="1" applyFont="1" applyFill="1"/>
    <xf numFmtId="20" fontId="5" fillId="3" borderId="0" xfId="0" applyNumberFormat="1" applyFont="1" applyFill="1"/>
    <xf numFmtId="2" fontId="12" fillId="4" borderId="14" xfId="0" applyNumberFormat="1" applyFont="1" applyFill="1" applyBorder="1" applyAlignment="1">
      <alignment horizontal="center"/>
    </xf>
    <xf numFmtId="164" fontId="0" fillId="4" borderId="7" xfId="1" applyNumberFormat="1" applyFont="1" applyFill="1" applyBorder="1" applyAlignment="1" applyProtection="1">
      <protection locked="0"/>
    </xf>
    <xf numFmtId="2" fontId="12" fillId="4" borderId="15" xfId="0" applyNumberFormat="1" applyFont="1" applyFill="1" applyBorder="1" applyAlignment="1">
      <alignment horizontal="center"/>
    </xf>
    <xf numFmtId="43" fontId="1" fillId="4" borderId="24" xfId="1" applyFont="1" applyFill="1" applyBorder="1" applyAlignment="1">
      <alignment horizontal="center"/>
    </xf>
    <xf numFmtId="164" fontId="1" fillId="4" borderId="6" xfId="1" applyNumberFormat="1" applyFont="1" applyFill="1" applyBorder="1" applyAlignment="1"/>
    <xf numFmtId="164" fontId="1" fillId="4" borderId="7" xfId="1" applyNumberFormat="1" applyFont="1" applyFill="1" applyBorder="1" applyAlignment="1"/>
    <xf numFmtId="0" fontId="32" fillId="0" borderId="19" xfId="0" applyFont="1" applyBorder="1" applyAlignment="1">
      <alignment vertical="center"/>
    </xf>
    <xf numFmtId="3" fontId="17" fillId="0" borderId="21" xfId="0" quotePrefix="1" applyNumberFormat="1" applyFont="1" applyBorder="1" applyAlignment="1">
      <alignment horizontal="center" vertical="center" wrapText="1"/>
    </xf>
    <xf numFmtId="2" fontId="17" fillId="3" borderId="21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/>
    </xf>
    <xf numFmtId="167" fontId="4" fillId="4" borderId="7" xfId="0" applyNumberFormat="1" applyFont="1" applyFill="1" applyBorder="1" applyAlignment="1">
      <alignment horizontal="center" vertical="center"/>
    </xf>
    <xf numFmtId="4" fontId="4" fillId="4" borderId="7" xfId="1" applyNumberFormat="1" applyFont="1" applyFill="1" applyBorder="1" applyAlignment="1">
      <alignment horizontal="center"/>
    </xf>
    <xf numFmtId="4" fontId="0" fillId="6" borderId="0" xfId="0" applyNumberFormat="1" applyFill="1" applyAlignment="1">
      <alignment horizontal="center"/>
    </xf>
    <xf numFmtId="4" fontId="4" fillId="5" borderId="0" xfId="1" applyNumberFormat="1" applyFont="1" applyFill="1" applyBorder="1" applyAlignment="1">
      <alignment horizontal="center"/>
    </xf>
    <xf numFmtId="0" fontId="3" fillId="5" borderId="0" xfId="0" applyFont="1" applyFill="1"/>
    <xf numFmtId="0" fontId="21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45" fillId="5" borderId="0" xfId="0" applyFont="1" applyFill="1" applyAlignment="1">
      <alignment horizontal="left"/>
    </xf>
    <xf numFmtId="0" fontId="5" fillId="3" borderId="0" xfId="0" applyFont="1" applyFill="1" applyAlignment="1">
      <alignment horizontal="left" vertical="top"/>
    </xf>
    <xf numFmtId="0" fontId="53" fillId="3" borderId="0" xfId="0" applyFont="1" applyFill="1" applyAlignment="1">
      <alignment vertical="center"/>
    </xf>
    <xf numFmtId="0" fontId="53" fillId="3" borderId="0" xfId="0" applyFont="1" applyFill="1" applyAlignment="1">
      <alignment horizontal="center"/>
    </xf>
    <xf numFmtId="0" fontId="4" fillId="5" borderId="2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6" fillId="5" borderId="0" xfId="0" applyFont="1" applyFill="1"/>
    <xf numFmtId="0" fontId="7" fillId="5" borderId="0" xfId="0" applyFont="1" applyFill="1" applyAlignment="1">
      <alignment horizontal="left"/>
    </xf>
    <xf numFmtId="0" fontId="7" fillId="5" borderId="0" xfId="0" applyFont="1" applyFill="1"/>
    <xf numFmtId="0" fontId="8" fillId="5" borderId="0" xfId="0" applyFont="1" applyFill="1" applyAlignment="1">
      <alignment horizontal="center"/>
    </xf>
    <xf numFmtId="0" fontId="9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right" vertical="center"/>
    </xf>
    <xf numFmtId="0" fontId="0" fillId="5" borderId="0" xfId="0" applyFill="1" applyAlignment="1">
      <alignment horizontal="left"/>
    </xf>
    <xf numFmtId="0" fontId="7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top"/>
    </xf>
    <xf numFmtId="0" fontId="4" fillId="5" borderId="0" xfId="0" applyFont="1" applyFill="1" applyAlignment="1">
      <alignment horizontal="right"/>
    </xf>
    <xf numFmtId="0" fontId="9" fillId="5" borderId="0" xfId="0" applyFont="1" applyFill="1" applyAlignment="1">
      <alignment horizontal="right"/>
    </xf>
    <xf numFmtId="0" fontId="9" fillId="5" borderId="0" xfId="0" applyFont="1" applyFill="1" applyAlignment="1">
      <alignment horizontal="center"/>
    </xf>
    <xf numFmtId="0" fontId="4" fillId="5" borderId="0" xfId="0" applyFont="1" applyFill="1" applyAlignment="1" applyProtection="1">
      <alignment horizontal="center"/>
      <protection locked="0"/>
    </xf>
    <xf numFmtId="0" fontId="4" fillId="5" borderId="13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wrapText="1"/>
    </xf>
    <xf numFmtId="0" fontId="0" fillId="5" borderId="10" xfId="0" applyFill="1" applyBorder="1"/>
    <xf numFmtId="0" fontId="4" fillId="5" borderId="10" xfId="0" applyFont="1" applyFill="1" applyBorder="1" applyAlignment="1">
      <alignment wrapText="1"/>
    </xf>
    <xf numFmtId="0" fontId="0" fillId="5" borderId="5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7" fillId="5" borderId="10" xfId="0" applyFont="1" applyFill="1" applyBorder="1" applyAlignment="1">
      <alignment wrapText="1"/>
    </xf>
    <xf numFmtId="0" fontId="0" fillId="5" borderId="10" xfId="0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/>
    </xf>
    <xf numFmtId="0" fontId="0" fillId="5" borderId="0" xfId="0" applyFill="1" applyAlignment="1">
      <alignment horizontal="center" vertical="center"/>
    </xf>
    <xf numFmtId="0" fontId="4" fillId="5" borderId="10" xfId="0" applyFont="1" applyFill="1" applyBorder="1" applyAlignment="1">
      <alignment horizontal="left" vertical="top" wrapText="1"/>
    </xf>
    <xf numFmtId="0" fontId="4" fillId="5" borderId="15" xfId="0" applyFont="1" applyFill="1" applyBorder="1" applyAlignment="1">
      <alignment horizontal="left" vertical="top" wrapText="1"/>
    </xf>
    <xf numFmtId="0" fontId="0" fillId="5" borderId="14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2" fontId="9" fillId="5" borderId="9" xfId="0" applyNumberFormat="1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2" fontId="9" fillId="5" borderId="15" xfId="0" applyNumberFormat="1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13" fillId="5" borderId="9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1" fillId="5" borderId="0" xfId="0" applyFont="1" applyFill="1"/>
    <xf numFmtId="4" fontId="4" fillId="5" borderId="0" xfId="0" applyNumberFormat="1" applyFont="1" applyFill="1" applyAlignment="1">
      <alignment horizontal="left"/>
    </xf>
    <xf numFmtId="0" fontId="5" fillId="5" borderId="0" xfId="0" applyFont="1" applyFill="1"/>
    <xf numFmtId="2" fontId="54" fillId="5" borderId="0" xfId="0" applyNumberFormat="1" applyFont="1" applyFill="1"/>
    <xf numFmtId="0" fontId="13" fillId="5" borderId="0" xfId="0" applyFont="1" applyFill="1" applyAlignment="1">
      <alignment horizontal="left"/>
    </xf>
    <xf numFmtId="0" fontId="4" fillId="5" borderId="13" xfId="0" applyFont="1" applyFill="1" applyBorder="1" applyAlignment="1">
      <alignment horizontal="center"/>
    </xf>
    <xf numFmtId="2" fontId="14" fillId="5" borderId="0" xfId="0" applyNumberFormat="1" applyFont="1" applyFill="1" applyProtection="1">
      <protection locked="0"/>
    </xf>
    <xf numFmtId="0" fontId="3" fillId="5" borderId="0" xfId="0" applyFont="1" applyFill="1" applyAlignment="1">
      <alignment horizontal="left"/>
    </xf>
    <xf numFmtId="43" fontId="3" fillId="5" borderId="0" xfId="1" applyFont="1" applyFill="1" applyBorder="1"/>
    <xf numFmtId="0" fontId="20" fillId="5" borderId="0" xfId="0" applyFont="1" applyFill="1" applyAlignment="1">
      <alignment horizontal="right"/>
    </xf>
    <xf numFmtId="0" fontId="0" fillId="5" borderId="13" xfId="0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3" fillId="5" borderId="0" xfId="0" applyFont="1" applyFill="1" applyAlignment="1">
      <alignment horizontal="right"/>
    </xf>
    <xf numFmtId="0" fontId="14" fillId="5" borderId="0" xfId="0" applyFont="1" applyFill="1"/>
    <xf numFmtId="2" fontId="12" fillId="5" borderId="0" xfId="0" applyNumberFormat="1" applyFont="1" applyFill="1"/>
    <xf numFmtId="2" fontId="0" fillId="5" borderId="13" xfId="0" applyNumberFormat="1" applyFill="1" applyBorder="1"/>
    <xf numFmtId="0" fontId="4" fillId="5" borderId="2" xfId="0" applyFont="1" applyFill="1" applyBorder="1" applyAlignment="1">
      <alignment horizontal="center"/>
    </xf>
    <xf numFmtId="0" fontId="6" fillId="5" borderId="2" xfId="0" applyFont="1" applyFill="1" applyBorder="1"/>
    <xf numFmtId="0" fontId="10" fillId="5" borderId="0" xfId="0" applyFont="1" applyFill="1" applyAlignment="1">
      <alignment horizontal="right"/>
    </xf>
    <xf numFmtId="0" fontId="4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164" fontId="4" fillId="5" borderId="0" xfId="1" applyNumberFormat="1" applyFont="1" applyFill="1" applyBorder="1" applyAlignment="1"/>
    <xf numFmtId="164" fontId="0" fillId="5" borderId="0" xfId="1" applyNumberFormat="1" applyFont="1" applyFill="1" applyBorder="1" applyAlignment="1"/>
    <xf numFmtId="0" fontId="0" fillId="5" borderId="0" xfId="0" applyFill="1" applyAlignment="1" applyProtection="1">
      <alignment horizontal="center"/>
      <protection locked="0"/>
    </xf>
    <xf numFmtId="2" fontId="14" fillId="5" borderId="0" xfId="0" applyNumberFormat="1" applyFont="1" applyFill="1" applyAlignment="1" applyProtection="1">
      <alignment horizontal="center"/>
      <protection locked="0"/>
    </xf>
    <xf numFmtId="43" fontId="0" fillId="5" borderId="0" xfId="1" applyFont="1" applyFill="1" applyBorder="1" applyAlignment="1">
      <alignment horizontal="center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wrapText="1"/>
    </xf>
    <xf numFmtId="0" fontId="14" fillId="5" borderId="0" xfId="0" applyFont="1" applyFill="1" applyAlignment="1">
      <alignment horizontal="left"/>
    </xf>
    <xf numFmtId="2" fontId="14" fillId="5" borderId="0" xfId="0" applyNumberFormat="1" applyFont="1" applyFill="1"/>
    <xf numFmtId="0" fontId="14" fillId="5" borderId="13" xfId="0" applyFont="1" applyFill="1" applyBorder="1"/>
    <xf numFmtId="0" fontId="0" fillId="5" borderId="13" xfId="0" applyFill="1" applyBorder="1" applyAlignment="1">
      <alignment horizontal="center"/>
    </xf>
    <xf numFmtId="0" fontId="9" fillId="5" borderId="0" xfId="0" applyFont="1" applyFill="1"/>
    <xf numFmtId="0" fontId="12" fillId="5" borderId="0" xfId="0" applyFont="1" applyFill="1"/>
    <xf numFmtId="0" fontId="17" fillId="5" borderId="0" xfId="0" applyFont="1" applyFill="1" applyAlignment="1">
      <alignment horizontal="left" vertical="top"/>
    </xf>
    <xf numFmtId="0" fontId="13" fillId="5" borderId="0" xfId="0" applyFont="1" applyFill="1" applyAlignment="1" applyProtection="1">
      <alignment horizontal="center" vertical="top"/>
      <protection locked="0"/>
    </xf>
    <xf numFmtId="0" fontId="13" fillId="5" borderId="0" xfId="0" applyFont="1" applyFill="1" applyAlignment="1">
      <alignment vertical="top"/>
    </xf>
    <xf numFmtId="164" fontId="9" fillId="4" borderId="7" xfId="1" applyNumberFormat="1" applyFont="1" applyFill="1" applyBorder="1" applyAlignment="1"/>
    <xf numFmtId="0" fontId="48" fillId="3" borderId="0" xfId="0" applyFont="1" applyFill="1" applyAlignment="1">
      <alignment horizontal="center" vertical="center"/>
    </xf>
    <xf numFmtId="0" fontId="48" fillId="3" borderId="0" xfId="0" applyFont="1" applyFill="1" applyAlignment="1">
      <alignment vertical="center"/>
    </xf>
    <xf numFmtId="4" fontId="2" fillId="3" borderId="0" xfId="0" applyNumberFormat="1" applyFont="1" applyFill="1" applyAlignment="1">
      <alignment horizontal="left"/>
    </xf>
    <xf numFmtId="2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168" fontId="5" fillId="3" borderId="0" xfId="0" applyNumberFormat="1" applyFont="1" applyFill="1"/>
    <xf numFmtId="169" fontId="5" fillId="3" borderId="0" xfId="0" applyNumberFormat="1" applyFont="1" applyFill="1"/>
    <xf numFmtId="0" fontId="5" fillId="3" borderId="0" xfId="0" applyFont="1" applyFill="1" applyProtection="1">
      <protection locked="0"/>
    </xf>
    <xf numFmtId="0" fontId="7" fillId="3" borderId="6" xfId="0" applyFont="1" applyFill="1" applyBorder="1" applyAlignment="1" applyProtection="1">
      <alignment horizontal="left"/>
      <protection locked="0"/>
    </xf>
    <xf numFmtId="0" fontId="7" fillId="3" borderId="8" xfId="0" applyFont="1" applyFill="1" applyBorder="1" applyAlignment="1" applyProtection="1">
      <alignment horizontal="left"/>
      <protection locked="0"/>
    </xf>
    <xf numFmtId="0" fontId="7" fillId="3" borderId="11" xfId="0" applyFont="1" applyFill="1" applyBorder="1" applyAlignment="1" applyProtection="1">
      <alignment horizontal="left"/>
      <protection locked="0"/>
    </xf>
    <xf numFmtId="166" fontId="7" fillId="3" borderId="6" xfId="0" applyNumberFormat="1" applyFont="1" applyFill="1" applyBorder="1" applyAlignment="1" applyProtection="1">
      <alignment horizontal="left"/>
      <protection locked="0"/>
    </xf>
    <xf numFmtId="166" fontId="7" fillId="3" borderId="11" xfId="0" applyNumberFormat="1" applyFont="1" applyFill="1" applyBorder="1" applyAlignment="1" applyProtection="1">
      <alignment horizontal="left"/>
      <protection locked="0"/>
    </xf>
    <xf numFmtId="49" fontId="7" fillId="0" borderId="6" xfId="0" applyNumberFormat="1" applyFont="1" applyBorder="1" applyAlignment="1" applyProtection="1">
      <alignment horizontal="left"/>
      <protection locked="0"/>
    </xf>
    <xf numFmtId="49" fontId="7" fillId="0" borderId="8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 applyProtection="1">
      <alignment horizontal="left"/>
      <protection locked="0"/>
    </xf>
    <xf numFmtId="0" fontId="10" fillId="4" borderId="6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0" fillId="4" borderId="6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0" fillId="4" borderId="6" xfId="0" quotePrefix="1" applyFont="1" applyFill="1" applyBorder="1" applyAlignment="1">
      <alignment horizontal="center"/>
    </xf>
    <xf numFmtId="0" fontId="10" fillId="4" borderId="11" xfId="0" quotePrefix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/>
    </xf>
    <xf numFmtId="0" fontId="52" fillId="3" borderId="0" xfId="0" applyFont="1" applyFill="1" applyAlignment="1">
      <alignment horizont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2" fontId="10" fillId="4" borderId="6" xfId="0" quotePrefix="1" applyNumberFormat="1" applyFont="1" applyFill="1" applyBorder="1" applyAlignment="1">
      <alignment horizontal="center"/>
    </xf>
    <xf numFmtId="2" fontId="10" fillId="4" borderId="11" xfId="0" applyNumberFormat="1" applyFont="1" applyFill="1" applyBorder="1" applyAlignment="1">
      <alignment horizontal="center"/>
    </xf>
    <xf numFmtId="2" fontId="52" fillId="3" borderId="0" xfId="0" applyNumberFormat="1" applyFont="1" applyFill="1" applyAlignment="1">
      <alignment horizontal="center" vertical="center" wrapText="1"/>
    </xf>
    <xf numFmtId="4" fontId="50" fillId="3" borderId="0" xfId="0" quotePrefix="1" applyNumberFormat="1" applyFont="1" applyFill="1" applyAlignment="1">
      <alignment horizontal="center" vertical="center" wrapText="1"/>
    </xf>
    <xf numFmtId="4" fontId="50" fillId="3" borderId="0" xfId="0" applyNumberFormat="1" applyFont="1" applyFill="1" applyAlignment="1">
      <alignment horizontal="center" vertical="center" wrapText="1"/>
    </xf>
    <xf numFmtId="2" fontId="51" fillId="3" borderId="0" xfId="0" applyNumberFormat="1" applyFont="1" applyFill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2" fontId="52" fillId="3" borderId="0" xfId="0" quotePrefix="1" applyNumberFormat="1" applyFont="1" applyFill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64" fontId="51" fillId="3" borderId="0" xfId="1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2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0" fillId="3" borderId="0" xfId="0" applyFont="1" applyFill="1" applyAlignment="1">
      <alignment horizontal="center" vertical="center"/>
    </xf>
    <xf numFmtId="2" fontId="50" fillId="3" borderId="0" xfId="0" applyNumberFormat="1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3" fontId="50" fillId="3" borderId="0" xfId="0" quotePrefix="1" applyNumberFormat="1" applyFont="1" applyFill="1" applyAlignment="1">
      <alignment horizontal="center" vertical="center" wrapText="1"/>
    </xf>
    <xf numFmtId="3" fontId="50" fillId="3" borderId="0" xfId="0" applyNumberFormat="1" applyFont="1" applyFill="1" applyAlignment="1">
      <alignment horizontal="center" vertical="center" wrapText="1"/>
    </xf>
    <xf numFmtId="0" fontId="48" fillId="3" borderId="0" xfId="0" applyFont="1" applyFill="1" applyAlignment="1">
      <alignment horizontal="left" vertical="top"/>
    </xf>
    <xf numFmtId="0" fontId="48" fillId="3" borderId="0" xfId="0" applyFont="1" applyFill="1" applyAlignment="1">
      <alignment horizontal="center" vertical="center"/>
    </xf>
    <xf numFmtId="0" fontId="48" fillId="3" borderId="0" xfId="0" applyFont="1" applyFill="1" applyAlignment="1">
      <alignment vertical="center"/>
    </xf>
    <xf numFmtId="0" fontId="48" fillId="3" borderId="0" xfId="0" applyFont="1" applyFill="1" applyAlignment="1">
      <alignment horizontal="left" vertical="center"/>
    </xf>
    <xf numFmtId="4" fontId="2" fillId="3" borderId="0" xfId="0" applyNumberFormat="1" applyFont="1" applyFill="1" applyAlignment="1">
      <alignment horizontal="left"/>
    </xf>
    <xf numFmtId="0" fontId="7" fillId="5" borderId="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 applyProtection="1">
      <alignment horizontal="center" vertical="center"/>
      <protection locked="0"/>
    </xf>
    <xf numFmtId="4" fontId="7" fillId="3" borderId="11" xfId="0" applyNumberFormat="1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47" fillId="3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2" fontId="13" fillId="3" borderId="0" xfId="0" quotePrefix="1" applyNumberFormat="1" applyFont="1" applyFill="1" applyAlignment="1">
      <alignment horizontal="left" vertical="center" wrapText="1"/>
    </xf>
    <xf numFmtId="3" fontId="18" fillId="0" borderId="17" xfId="0" quotePrefix="1" applyNumberFormat="1" applyFont="1" applyBorder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166" fontId="16" fillId="0" borderId="0" xfId="0" applyNumberFormat="1" applyFont="1" applyAlignment="1">
      <alignment horizontal="left" vertical="center" wrapText="1"/>
    </xf>
    <xf numFmtId="164" fontId="17" fillId="0" borderId="23" xfId="1" quotePrefix="1" applyNumberFormat="1" applyFont="1" applyFill="1" applyBorder="1" applyAlignment="1">
      <alignment horizontal="center" wrapText="1"/>
    </xf>
    <xf numFmtId="164" fontId="17" fillId="0" borderId="25" xfId="1" quotePrefix="1" applyNumberFormat="1" applyFont="1" applyFill="1" applyBorder="1" applyAlignment="1">
      <alignment horizontal="center" wrapText="1"/>
    </xf>
    <xf numFmtId="164" fontId="17" fillId="0" borderId="26" xfId="1" quotePrefix="1" applyNumberFormat="1" applyFont="1" applyFill="1" applyBorder="1" applyAlignment="1">
      <alignment horizontal="center" wrapText="1"/>
    </xf>
    <xf numFmtId="2" fontId="17" fillId="3" borderId="20" xfId="0" applyNumberFormat="1" applyFont="1" applyFill="1" applyBorder="1" applyAlignment="1">
      <alignment horizontal="center" vertical="center" wrapText="1"/>
    </xf>
    <xf numFmtId="164" fontId="17" fillId="3" borderId="23" xfId="1" quotePrefix="1" applyNumberFormat="1" applyFont="1" applyFill="1" applyBorder="1" applyAlignment="1">
      <alignment horizontal="center" vertical="center" wrapText="1"/>
    </xf>
    <xf numFmtId="164" fontId="17" fillId="3" borderId="25" xfId="1" quotePrefix="1" applyNumberFormat="1" applyFont="1" applyFill="1" applyBorder="1" applyAlignment="1">
      <alignment horizontal="center" vertical="center" wrapText="1"/>
    </xf>
    <xf numFmtId="164" fontId="17" fillId="3" borderId="26" xfId="1" quotePrefix="1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" fontId="17" fillId="0" borderId="23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2" fontId="17" fillId="0" borderId="20" xfId="0" quotePrefix="1" applyNumberFormat="1" applyFont="1" applyBorder="1" applyAlignment="1">
      <alignment horizontal="center" vertical="center" wrapText="1"/>
    </xf>
    <xf numFmtId="2" fontId="17" fillId="0" borderId="23" xfId="0" applyNumberFormat="1" applyFont="1" applyBorder="1" applyAlignment="1">
      <alignment horizontal="center" vertical="center" wrapText="1"/>
    </xf>
    <xf numFmtId="2" fontId="17" fillId="0" borderId="25" xfId="0" applyNumberFormat="1" applyFont="1" applyBorder="1" applyAlignment="1">
      <alignment horizontal="center" vertical="center" wrapText="1"/>
    </xf>
    <xf numFmtId="2" fontId="17" fillId="0" borderId="26" xfId="0" applyNumberFormat="1" applyFont="1" applyBorder="1" applyAlignment="1">
      <alignment horizontal="center" vertical="center" wrapText="1"/>
    </xf>
    <xf numFmtId="4" fontId="17" fillId="0" borderId="23" xfId="0" quotePrefix="1" applyNumberFormat="1" applyFont="1" applyBorder="1" applyAlignment="1">
      <alignment horizontal="center" vertical="center" wrapText="1"/>
    </xf>
    <xf numFmtId="4" fontId="17" fillId="0" borderId="25" xfId="0" quotePrefix="1" applyNumberFormat="1" applyFont="1" applyBorder="1" applyAlignment="1">
      <alignment horizontal="center" vertical="center" wrapText="1"/>
    </xf>
    <xf numFmtId="4" fontId="17" fillId="0" borderId="26" xfId="0" quotePrefix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center"/>
    </xf>
    <xf numFmtId="2" fontId="17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164" fontId="17" fillId="0" borderId="23" xfId="1" applyNumberFormat="1" applyFont="1" applyBorder="1" applyAlignment="1">
      <alignment horizontal="center" vertical="center"/>
    </xf>
    <xf numFmtId="164" fontId="17" fillId="0" borderId="25" xfId="1" applyNumberFormat="1" applyFont="1" applyBorder="1" applyAlignment="1">
      <alignment horizontal="center" vertical="center"/>
    </xf>
    <xf numFmtId="164" fontId="17" fillId="0" borderId="26" xfId="1" applyNumberFormat="1" applyFont="1" applyBorder="1" applyAlignment="1">
      <alignment horizontal="center" vertical="center"/>
    </xf>
    <xf numFmtId="2" fontId="17" fillId="0" borderId="23" xfId="0" quotePrefix="1" applyNumberFormat="1" applyFont="1" applyBorder="1" applyAlignment="1">
      <alignment horizontal="center" vertical="center" wrapText="1"/>
    </xf>
    <xf numFmtId="2" fontId="17" fillId="0" borderId="25" xfId="0" quotePrefix="1" applyNumberFormat="1" applyFont="1" applyBorder="1" applyAlignment="1">
      <alignment horizontal="center" vertical="center" wrapText="1"/>
    </xf>
    <xf numFmtId="2" fontId="17" fillId="0" borderId="26" xfId="0" quotePrefix="1" applyNumberFormat="1" applyFont="1" applyBorder="1" applyAlignment="1">
      <alignment horizontal="center" vertical="center" wrapText="1"/>
    </xf>
    <xf numFmtId="1" fontId="17" fillId="3" borderId="23" xfId="0" quotePrefix="1" applyNumberFormat="1" applyFont="1" applyFill="1" applyBorder="1" applyAlignment="1">
      <alignment horizontal="center" vertical="center" wrapText="1"/>
    </xf>
    <xf numFmtId="1" fontId="17" fillId="3" borderId="25" xfId="0" quotePrefix="1" applyNumberFormat="1" applyFont="1" applyFill="1" applyBorder="1" applyAlignment="1">
      <alignment horizontal="center" vertical="center" wrapText="1"/>
    </xf>
    <xf numFmtId="1" fontId="17" fillId="3" borderId="26" xfId="0" quotePrefix="1" applyNumberFormat="1" applyFont="1" applyFill="1" applyBorder="1" applyAlignment="1">
      <alignment horizontal="center" vertical="center" wrapText="1"/>
    </xf>
    <xf numFmtId="1" fontId="17" fillId="3" borderId="23" xfId="0" applyNumberFormat="1" applyFont="1" applyFill="1" applyBorder="1" applyAlignment="1">
      <alignment horizontal="center" vertical="center" wrapText="1"/>
    </xf>
    <xf numFmtId="1" fontId="17" fillId="3" borderId="25" xfId="0" applyNumberFormat="1" applyFont="1" applyFill="1" applyBorder="1" applyAlignment="1">
      <alignment horizontal="center" vertical="center" wrapText="1"/>
    </xf>
    <xf numFmtId="1" fontId="17" fillId="3" borderId="26" xfId="0" applyNumberFormat="1" applyFont="1" applyFill="1" applyBorder="1" applyAlignment="1">
      <alignment horizontal="center" vertical="center" wrapText="1"/>
    </xf>
    <xf numFmtId="2" fontId="17" fillId="3" borderId="23" xfId="0" quotePrefix="1" applyNumberFormat="1" applyFont="1" applyFill="1" applyBorder="1" applyAlignment="1">
      <alignment horizontal="center" vertical="center" wrapText="1"/>
    </xf>
    <xf numFmtId="2" fontId="17" fillId="3" borderId="25" xfId="0" quotePrefix="1" applyNumberFormat="1" applyFont="1" applyFill="1" applyBorder="1" applyAlignment="1">
      <alignment horizontal="center" vertical="center" wrapText="1"/>
    </xf>
    <xf numFmtId="2" fontId="17" fillId="3" borderId="26" xfId="0" quotePrefix="1" applyNumberFormat="1" applyFont="1" applyFill="1" applyBorder="1" applyAlignment="1">
      <alignment horizontal="center" vertical="center" wrapText="1"/>
    </xf>
    <xf numFmtId="1" fontId="17" fillId="3" borderId="20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164" fontId="17" fillId="0" borderId="23" xfId="0" applyNumberFormat="1" applyFont="1" applyBorder="1" applyAlignment="1">
      <alignment horizontal="center" vertical="center"/>
    </xf>
    <xf numFmtId="164" fontId="17" fillId="0" borderId="25" xfId="0" applyNumberFormat="1" applyFont="1" applyBorder="1" applyAlignment="1">
      <alignment horizontal="center" vertical="center"/>
    </xf>
    <xf numFmtId="164" fontId="17" fillId="0" borderId="26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 horizontal="center"/>
    </xf>
    <xf numFmtId="3" fontId="17" fillId="0" borderId="23" xfId="0" quotePrefix="1" applyNumberFormat="1" applyFont="1" applyBorder="1" applyAlignment="1">
      <alignment horizontal="center" vertical="center" wrapText="1"/>
    </xf>
    <xf numFmtId="3" fontId="17" fillId="0" borderId="25" xfId="0" quotePrefix="1" applyNumberFormat="1" applyFont="1" applyBorder="1" applyAlignment="1">
      <alignment horizontal="center" vertical="center" wrapText="1"/>
    </xf>
    <xf numFmtId="3" fontId="17" fillId="0" borderId="26" xfId="0" quotePrefix="1" applyNumberFormat="1" applyFont="1" applyBorder="1" applyAlignment="1">
      <alignment horizontal="center" vertical="center" wrapText="1"/>
    </xf>
    <xf numFmtId="164" fontId="17" fillId="0" borderId="16" xfId="1" quotePrefix="1" applyNumberFormat="1" applyFont="1" applyFill="1" applyBorder="1" applyAlignment="1">
      <alignment horizontal="center" wrapText="1"/>
    </xf>
    <xf numFmtId="164" fontId="17" fillId="0" borderId="17" xfId="1" quotePrefix="1" applyNumberFormat="1" applyFont="1" applyFill="1" applyBorder="1" applyAlignment="1">
      <alignment horizontal="center" wrapText="1"/>
    </xf>
    <xf numFmtId="164" fontId="17" fillId="0" borderId="18" xfId="1" quotePrefix="1" applyNumberFormat="1" applyFont="1" applyFill="1" applyBorder="1" applyAlignment="1">
      <alignment horizontal="center" wrapText="1"/>
    </xf>
    <xf numFmtId="2" fontId="17" fillId="3" borderId="20" xfId="0" quotePrefix="1" applyNumberFormat="1" applyFont="1" applyFill="1" applyBorder="1" applyAlignment="1">
      <alignment horizontal="center" vertical="center" wrapText="1"/>
    </xf>
    <xf numFmtId="43" fontId="25" fillId="0" borderId="0" xfId="0" applyNumberFormat="1" applyFont="1" applyAlignment="1">
      <alignment horizontal="center" vertical="center"/>
    </xf>
    <xf numFmtId="4" fontId="17" fillId="0" borderId="23" xfId="0" applyNumberFormat="1" applyFont="1" applyBorder="1" applyAlignment="1">
      <alignment horizontal="center" vertical="center" wrapText="1"/>
    </xf>
    <xf numFmtId="4" fontId="17" fillId="0" borderId="25" xfId="0" applyNumberFormat="1" applyFont="1" applyBorder="1" applyAlignment="1">
      <alignment horizontal="center" vertical="center" wrapText="1"/>
    </xf>
    <xf numFmtId="4" fontId="17" fillId="0" borderId="26" xfId="0" applyNumberFormat="1" applyFont="1" applyBorder="1" applyAlignment="1">
      <alignment horizontal="center" vertical="center" wrapText="1"/>
    </xf>
    <xf numFmtId="2" fontId="17" fillId="0" borderId="23" xfId="0" applyNumberFormat="1" applyFont="1" applyBorder="1" applyAlignment="1">
      <alignment horizontal="center" vertical="center"/>
    </xf>
    <xf numFmtId="2" fontId="17" fillId="0" borderId="25" xfId="0" applyNumberFormat="1" applyFont="1" applyBorder="1" applyAlignment="1">
      <alignment horizontal="center" vertical="center"/>
    </xf>
    <xf numFmtId="2" fontId="17" fillId="0" borderId="26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30">
    <dxf>
      <font>
        <color rgb="FFF6F6A0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color rgb="FFFF0000"/>
      </font>
    </dxf>
    <dxf>
      <font>
        <color rgb="FFFFFF99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FFF99"/>
      </font>
    </dxf>
    <dxf>
      <font>
        <color rgb="FFFFFF99"/>
      </font>
    </dxf>
    <dxf>
      <font>
        <color rgb="FFFFFF99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D95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FFD95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6F6A0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6F6A0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FFD95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6F6A0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FFD95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FFD95"/>
      </font>
      <fill>
        <patternFill>
          <bgColor rgb="FFFFFF99"/>
        </patternFill>
      </fill>
      <border>
        <left/>
        <right/>
        <top/>
        <bottom/>
        <vertical/>
        <horizontal/>
      </border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188</xdr:row>
      <xdr:rowOff>19049</xdr:rowOff>
    </xdr:from>
    <xdr:to>
      <xdr:col>6</xdr:col>
      <xdr:colOff>167115</xdr:colOff>
      <xdr:row>211</xdr:row>
      <xdr:rowOff>104775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0576" t="13243" r="33586" b="10729"/>
        <a:stretch/>
      </xdr:blipFill>
      <xdr:spPr>
        <a:xfrm>
          <a:off x="390525" y="39462074"/>
          <a:ext cx="5453490" cy="473392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41"/>
  <sheetViews>
    <sheetView tabSelected="1" zoomScaleNormal="100" workbookViewId="0">
      <selection activeCell="N29" sqref="N29:P29"/>
    </sheetView>
  </sheetViews>
  <sheetFormatPr defaultRowHeight="15" x14ac:dyDescent="0.25"/>
  <cols>
    <col min="1" max="1" width="4" customWidth="1"/>
    <col min="2" max="2" width="2.5703125" customWidth="1"/>
    <col min="3" max="3" width="37.85546875" customWidth="1"/>
    <col min="4" max="4" width="15.42578125" customWidth="1"/>
    <col min="5" max="5" width="13.140625" customWidth="1"/>
    <col min="6" max="6" width="12.140625" customWidth="1"/>
    <col min="7" max="7" width="3.85546875" style="3" customWidth="1"/>
    <col min="8" max="8" width="3.85546875" style="171" customWidth="1"/>
    <col min="9" max="9" width="1.85546875" style="3" customWidth="1"/>
    <col min="10" max="10" width="2.140625" style="170" customWidth="1"/>
    <col min="11" max="11" width="6" style="170" customWidth="1"/>
    <col min="12" max="12" width="9.5703125" customWidth="1"/>
    <col min="13" max="13" width="12.140625" customWidth="1"/>
    <col min="14" max="14" width="14.5703125" customWidth="1"/>
    <col min="15" max="15" width="10.28515625" customWidth="1"/>
    <col min="16" max="16" width="10.140625" customWidth="1"/>
    <col min="17" max="17" width="10.7109375" style="170" customWidth="1"/>
    <col min="18" max="18" width="14" customWidth="1"/>
    <col min="19" max="19" width="14.7109375" customWidth="1"/>
    <col min="20" max="20" width="5.28515625" customWidth="1"/>
    <col min="21" max="21" width="3.85546875" customWidth="1"/>
    <col min="22" max="22" width="3.7109375" customWidth="1"/>
    <col min="23" max="23" width="4.5703125" style="458" customWidth="1"/>
    <col min="24" max="24" width="207.5703125" style="458" customWidth="1"/>
    <col min="25" max="25" width="9.140625" style="458" customWidth="1"/>
    <col min="26" max="26" width="8" style="458" customWidth="1"/>
    <col min="27" max="27" width="11.42578125" style="458" customWidth="1"/>
    <col min="28" max="28" width="6.7109375" style="458" customWidth="1"/>
    <col min="29" max="29" width="9" style="458" customWidth="1"/>
    <col min="30" max="30" width="2.85546875" style="458" customWidth="1"/>
    <col min="31" max="31" width="6.5703125" style="458" customWidth="1"/>
    <col min="32" max="32" width="9.5703125" style="458" customWidth="1"/>
    <col min="33" max="33" width="10" style="458" customWidth="1"/>
    <col min="34" max="34" width="11.5703125" style="458" hidden="1" customWidth="1"/>
    <col min="35" max="35" width="26.85546875" style="458" customWidth="1"/>
    <col min="36" max="36" width="5.140625" style="458" customWidth="1"/>
    <col min="37" max="37" width="18" style="458" customWidth="1"/>
    <col min="38" max="38" width="17.140625" style="458" customWidth="1"/>
    <col min="39" max="39" width="18.7109375" style="458" customWidth="1"/>
    <col min="40" max="40" width="17.7109375" style="458" customWidth="1"/>
    <col min="41" max="41" width="10.5703125" style="458" customWidth="1"/>
    <col min="42" max="42" width="64.140625" style="458" customWidth="1"/>
    <col min="43" max="43" width="40.5703125" style="458" customWidth="1"/>
    <col min="44" max="61" width="9.140625" style="458"/>
  </cols>
  <sheetData>
    <row r="1" spans="1:40" ht="27.75" customHeight="1" x14ac:dyDescent="0.3">
      <c r="A1" s="1"/>
      <c r="B1" s="1"/>
      <c r="C1" s="4" t="s">
        <v>0</v>
      </c>
      <c r="D1" s="4"/>
      <c r="E1" s="4"/>
      <c r="F1" s="1"/>
      <c r="G1" s="1"/>
      <c r="H1" s="1"/>
      <c r="I1" s="1"/>
      <c r="J1" s="4" t="s">
        <v>0</v>
      </c>
      <c r="K1" s="4"/>
      <c r="L1" s="4"/>
      <c r="M1" s="1"/>
      <c r="N1" s="1"/>
      <c r="O1" s="1"/>
      <c r="P1" s="1"/>
      <c r="Q1" s="2"/>
      <c r="R1" s="1"/>
      <c r="S1" s="1"/>
      <c r="T1" s="1"/>
      <c r="U1" s="1"/>
      <c r="V1" s="1"/>
      <c r="W1" s="458" t="s">
        <v>328</v>
      </c>
    </row>
    <row r="2" spans="1:40" ht="19.5" thickBot="1" x14ac:dyDescent="0.35">
      <c r="A2" s="1"/>
      <c r="B2" s="1"/>
      <c r="C2" s="4"/>
      <c r="D2" s="4"/>
      <c r="E2" s="4"/>
      <c r="F2" s="1"/>
      <c r="G2" s="1"/>
      <c r="H2" s="1"/>
      <c r="I2" s="1"/>
      <c r="J2" s="2"/>
      <c r="K2" s="2"/>
      <c r="L2" s="1"/>
      <c r="M2" s="1"/>
      <c r="N2" s="1"/>
      <c r="O2" s="1"/>
      <c r="P2" s="1"/>
      <c r="Q2" s="2"/>
      <c r="R2" s="1"/>
      <c r="S2" s="1"/>
      <c r="T2" s="1"/>
      <c r="U2" s="1"/>
      <c r="V2" s="1"/>
    </row>
    <row r="3" spans="1:40" ht="16.5" thickBot="1" x14ac:dyDescent="0.3">
      <c r="A3" s="1"/>
      <c r="B3" s="1"/>
      <c r="C3" s="6" t="s">
        <v>317</v>
      </c>
      <c r="D3" s="6" t="s">
        <v>318</v>
      </c>
      <c r="E3" s="636" t="s">
        <v>333</v>
      </c>
      <c r="F3" s="637"/>
      <c r="G3" s="637"/>
      <c r="H3" s="637"/>
      <c r="I3" s="637"/>
      <c r="J3" s="637"/>
      <c r="K3" s="637"/>
      <c r="L3" s="637"/>
      <c r="M3" s="638"/>
      <c r="N3" s="1"/>
      <c r="O3" s="1"/>
      <c r="P3" s="1"/>
      <c r="Q3" s="2"/>
      <c r="R3" s="1"/>
      <c r="S3" s="1"/>
      <c r="T3" s="1"/>
      <c r="U3" s="1"/>
      <c r="V3" s="1"/>
    </row>
    <row r="4" spans="1:40" ht="14.25" customHeight="1" thickBot="1" x14ac:dyDescent="0.3">
      <c r="A4" s="1"/>
      <c r="B4" s="1"/>
      <c r="C4" s="6"/>
      <c r="D4" s="6"/>
      <c r="E4" s="48"/>
      <c r="F4" s="48"/>
      <c r="G4" s="48"/>
      <c r="H4" s="48"/>
      <c r="I4" s="48"/>
      <c r="J4" s="48"/>
      <c r="K4" s="6"/>
      <c r="L4" s="64"/>
      <c r="M4" s="64"/>
      <c r="N4" s="1"/>
      <c r="O4" s="1"/>
      <c r="P4" s="1"/>
      <c r="Q4" s="2"/>
      <c r="R4" s="1"/>
      <c r="S4" s="1"/>
      <c r="T4" s="1"/>
      <c r="U4" s="1"/>
      <c r="V4" s="1"/>
    </row>
    <row r="5" spans="1:40" ht="17.25" customHeight="1" thickBot="1" x14ac:dyDescent="0.4">
      <c r="A5" s="1"/>
      <c r="B5" s="1"/>
      <c r="C5" s="5"/>
      <c r="D5" s="6" t="s">
        <v>319</v>
      </c>
      <c r="E5" s="639">
        <v>0</v>
      </c>
      <c r="F5" s="640"/>
      <c r="G5" s="455"/>
      <c r="H5" s="455"/>
      <c r="I5" s="455"/>
      <c r="J5" s="455"/>
      <c r="K5" s="455"/>
      <c r="L5" s="455"/>
      <c r="M5" s="455"/>
      <c r="N5" s="1"/>
      <c r="O5" s="1"/>
      <c r="P5" s="1"/>
      <c r="Q5" s="2"/>
      <c r="R5" s="1"/>
      <c r="S5" s="1"/>
      <c r="T5" s="1"/>
      <c r="U5" s="1"/>
      <c r="V5" s="1"/>
      <c r="AK5" s="474"/>
      <c r="AL5" s="474"/>
    </row>
    <row r="6" spans="1:40" ht="17.25" customHeight="1" x14ac:dyDescent="0.25">
      <c r="A6" s="1"/>
      <c r="B6" s="1"/>
      <c r="C6" s="5"/>
      <c r="D6" s="2"/>
      <c r="E6" s="6"/>
      <c r="F6" s="6"/>
      <c r="G6" s="6"/>
      <c r="H6" s="6"/>
      <c r="I6" s="6"/>
      <c r="J6" s="6"/>
      <c r="K6" s="6"/>
      <c r="L6" s="64"/>
      <c r="M6" s="64"/>
      <c r="N6" s="1"/>
      <c r="O6" s="1"/>
      <c r="P6" s="1"/>
      <c r="Q6" s="2"/>
      <c r="R6" s="1"/>
      <c r="S6" s="1"/>
      <c r="T6" s="1"/>
      <c r="U6" s="1"/>
      <c r="V6" s="1"/>
    </row>
    <row r="7" spans="1:40" ht="11.25" customHeight="1" thickBot="1" x14ac:dyDescent="0.35">
      <c r="A7" s="1"/>
      <c r="B7" s="1"/>
      <c r="C7" s="5"/>
      <c r="D7" s="2"/>
      <c r="E7" s="64"/>
      <c r="F7" s="6"/>
      <c r="G7" s="6"/>
      <c r="H7" s="6"/>
      <c r="I7" s="6"/>
      <c r="J7" s="6"/>
      <c r="K7" s="6"/>
      <c r="L7" s="64"/>
      <c r="M7" s="64"/>
      <c r="N7" s="1"/>
      <c r="O7" s="1"/>
      <c r="P7" s="1"/>
      <c r="Q7" s="2"/>
      <c r="R7" s="1"/>
      <c r="S7" s="1"/>
      <c r="T7" s="1"/>
      <c r="U7" s="1"/>
      <c r="V7" s="1"/>
      <c r="AK7" s="475"/>
      <c r="AL7" s="475"/>
      <c r="AM7" s="475"/>
      <c r="AN7" s="475"/>
    </row>
    <row r="8" spans="1:40" ht="16.5" thickBot="1" x14ac:dyDescent="0.3">
      <c r="A8" s="1"/>
      <c r="B8" s="1"/>
      <c r="C8" s="6" t="s">
        <v>320</v>
      </c>
      <c r="D8" s="6" t="s">
        <v>318</v>
      </c>
      <c r="E8" s="636" t="s">
        <v>334</v>
      </c>
      <c r="F8" s="637"/>
      <c r="G8" s="637"/>
      <c r="H8" s="637"/>
      <c r="I8" s="637"/>
      <c r="J8" s="637"/>
      <c r="K8" s="637"/>
      <c r="L8" s="637"/>
      <c r="M8" s="638"/>
      <c r="N8" s="1"/>
      <c r="O8" s="1"/>
      <c r="P8" s="1"/>
      <c r="Q8" s="2"/>
      <c r="R8" s="1"/>
      <c r="S8" s="1"/>
      <c r="T8" s="1"/>
      <c r="U8" s="1"/>
      <c r="V8" s="1"/>
    </row>
    <row r="9" spans="1:40" ht="16.5" thickBot="1" x14ac:dyDescent="0.3">
      <c r="A9" s="1"/>
      <c r="B9" s="1"/>
      <c r="C9" s="6"/>
      <c r="D9" s="6"/>
      <c r="E9" s="48"/>
      <c r="F9" s="48"/>
      <c r="G9" s="48"/>
      <c r="H9" s="48"/>
      <c r="I9" s="48"/>
      <c r="J9" s="48"/>
      <c r="K9" s="48"/>
      <c r="L9" s="48"/>
      <c r="M9" s="64"/>
      <c r="N9" s="1"/>
      <c r="O9" s="1"/>
      <c r="P9" s="1"/>
      <c r="Q9" s="2"/>
      <c r="R9" s="1"/>
      <c r="S9" s="1"/>
      <c r="T9" s="1"/>
      <c r="U9" s="1"/>
      <c r="V9" s="1"/>
    </row>
    <row r="10" spans="1:40" ht="15.75" customHeight="1" thickBot="1" x14ac:dyDescent="0.3">
      <c r="A10" s="1"/>
      <c r="B10" s="1"/>
      <c r="C10" s="5"/>
      <c r="D10" s="6" t="s">
        <v>319</v>
      </c>
      <c r="E10" s="639">
        <v>0</v>
      </c>
      <c r="F10" s="640"/>
      <c r="G10" s="455"/>
      <c r="H10" s="455"/>
      <c r="I10" s="455"/>
      <c r="J10" s="455"/>
      <c r="K10" s="455"/>
      <c r="L10" s="455"/>
      <c r="M10" s="455"/>
      <c r="N10" s="1"/>
      <c r="O10" s="1"/>
      <c r="P10" s="1"/>
      <c r="Q10" s="2"/>
      <c r="R10" s="1"/>
      <c r="S10" s="1"/>
      <c r="T10" s="1"/>
      <c r="U10" s="1"/>
      <c r="V10" s="1"/>
      <c r="Y10" s="458" t="s">
        <v>330</v>
      </c>
      <c r="AK10" s="459" t="s">
        <v>5</v>
      </c>
    </row>
    <row r="11" spans="1:40" ht="16.5" thickBot="1" x14ac:dyDescent="0.3">
      <c r="A11" s="1"/>
      <c r="B11" s="1"/>
      <c r="C11" s="5"/>
      <c r="D11" s="6"/>
      <c r="E11" s="6"/>
      <c r="F11" s="34"/>
      <c r="G11" s="34"/>
      <c r="H11" s="34"/>
      <c r="I11" s="34"/>
      <c r="J11" s="34"/>
      <c r="K11" s="34"/>
      <c r="L11" s="34"/>
      <c r="M11" s="64"/>
      <c r="N11" s="1"/>
      <c r="O11" s="1"/>
      <c r="P11" s="1"/>
      <c r="Q11" s="2"/>
      <c r="R11" s="1"/>
      <c r="S11" s="1"/>
      <c r="T11" s="1"/>
      <c r="U11" s="1"/>
      <c r="V11" s="1"/>
      <c r="Y11" s="492" t="s">
        <v>9</v>
      </c>
      <c r="AK11" s="461"/>
    </row>
    <row r="12" spans="1:40" ht="18.75" customHeight="1" thickBot="1" x14ac:dyDescent="0.3">
      <c r="A12" s="1"/>
      <c r="B12" s="1"/>
      <c r="C12" s="5"/>
      <c r="D12" s="456" t="s">
        <v>321</v>
      </c>
      <c r="E12" s="64"/>
      <c r="F12" s="494" t="s">
        <v>322</v>
      </c>
      <c r="G12" s="64"/>
      <c r="H12" s="6" t="s">
        <v>315</v>
      </c>
      <c r="I12" s="641" t="s">
        <v>335</v>
      </c>
      <c r="J12" s="642"/>
      <c r="K12" s="642"/>
      <c r="L12" s="642"/>
      <c r="M12" s="643"/>
      <c r="N12" s="1"/>
      <c r="O12" s="1"/>
      <c r="P12" s="1"/>
      <c r="Q12" s="2"/>
      <c r="R12" s="1"/>
      <c r="S12" s="1"/>
      <c r="T12" s="1"/>
      <c r="U12" s="1"/>
      <c r="V12" s="1"/>
      <c r="Y12" s="458" t="s">
        <v>12</v>
      </c>
      <c r="AK12" s="458" t="s">
        <v>13</v>
      </c>
      <c r="AN12" s="461"/>
    </row>
    <row r="13" spans="1:40" ht="14.25" customHeight="1" thickBot="1" x14ac:dyDescent="0.3">
      <c r="A13" s="1"/>
      <c r="B13" s="1"/>
      <c r="C13" s="5"/>
      <c r="D13" s="456"/>
      <c r="E13" s="64"/>
      <c r="F13" s="64"/>
      <c r="G13" s="64"/>
      <c r="H13" s="6"/>
      <c r="I13" s="64"/>
      <c r="J13" s="64"/>
      <c r="K13" s="6"/>
      <c r="L13" s="64"/>
      <c r="M13" s="64"/>
      <c r="N13" s="1"/>
      <c r="O13" s="1"/>
      <c r="P13" s="1"/>
      <c r="Q13" s="2"/>
      <c r="R13" s="1"/>
      <c r="S13" s="1"/>
      <c r="T13" s="1"/>
      <c r="U13" s="1"/>
      <c r="V13" s="1"/>
      <c r="Y13" s="458" t="s">
        <v>17</v>
      </c>
      <c r="AK13" s="458">
        <f>IF($N$26="Resid. Padrão Alto",160,IF($N$26="Resid. Padrão Médio",130,IF($N$26="Resid. Padrão Baixo",100,IF($N$26="Alojamento Provisório",80,IF($N$26="Fábrica em Geral",70,0)))))</f>
        <v>70</v>
      </c>
      <c r="AL13" s="458">
        <f>IF($N$26="Escritório",50,IF($N$26="Edifícios Públicos",50,IF($N$26="Escola (externatos) e locais de longa permanência",50,IF($N$26="Bares",6,0))))</f>
        <v>0</v>
      </c>
      <c r="AM13" s="458">
        <f>IF($N$26="Restaurantes e similares",25,IF($N$26="Cinema, teatros e locais de curta permanência",2,0))</f>
        <v>0</v>
      </c>
      <c r="AN13" s="458">
        <f>IF($N$26="Sanitários - Apenas acesso aberto ao público. Ex: estação rodoviária, ferroviária, estádio, etc.",480,0)</f>
        <v>0</v>
      </c>
    </row>
    <row r="14" spans="1:40" ht="16.5" thickBot="1" x14ac:dyDescent="0.3">
      <c r="A14" s="1"/>
      <c r="B14" s="1"/>
      <c r="C14" s="5"/>
      <c r="D14" s="6" t="s">
        <v>323</v>
      </c>
      <c r="E14" s="6"/>
      <c r="F14" s="641" t="s">
        <v>336</v>
      </c>
      <c r="G14" s="642"/>
      <c r="H14" s="642"/>
      <c r="I14" s="642"/>
      <c r="J14" s="642"/>
      <c r="K14" s="642"/>
      <c r="L14" s="642"/>
      <c r="M14" s="643"/>
      <c r="N14" s="1"/>
      <c r="O14" s="1"/>
      <c r="P14" s="1"/>
      <c r="Q14" s="2"/>
      <c r="R14" s="1"/>
      <c r="S14" s="1"/>
      <c r="T14" s="1"/>
      <c r="U14" s="1"/>
      <c r="V14" s="1"/>
      <c r="Y14" s="458" t="s">
        <v>19</v>
      </c>
      <c r="AK14" s="458" t="s">
        <v>20</v>
      </c>
    </row>
    <row r="15" spans="1:40" ht="15.75" x14ac:dyDescent="0.25">
      <c r="A15" s="1"/>
      <c r="B15" s="1"/>
      <c r="C15" s="5"/>
      <c r="D15" s="2"/>
      <c r="E15" s="2"/>
      <c r="F15" s="6"/>
      <c r="G15" s="6"/>
      <c r="H15" s="6"/>
      <c r="I15" s="6"/>
      <c r="J15" s="2"/>
      <c r="K15" s="2"/>
      <c r="L15" s="1"/>
      <c r="M15" s="1"/>
      <c r="N15" s="1"/>
      <c r="O15" s="1"/>
      <c r="P15" s="1"/>
      <c r="Q15" s="2"/>
      <c r="R15" s="1"/>
      <c r="S15" s="1"/>
      <c r="T15" s="1"/>
      <c r="U15" s="1"/>
      <c r="V15" s="1"/>
      <c r="Y15" s="458" t="s">
        <v>24</v>
      </c>
      <c r="AK15" s="462">
        <f>IF(N26="Restaurantes e similares","nº de refeição",IF(N26="Cinema, teatros e locais de curta permanência", "nº de lugares",0))</f>
        <v>0</v>
      </c>
      <c r="AL15" s="458" t="str">
        <f>IF(N26="Sanitários - Apenas acesso aberto ao público. Ex: estação rodoviária, ferroviária, estádio, etc.","nº de vasos","nº de pessoas")</f>
        <v>nº de pessoas</v>
      </c>
      <c r="AN15" s="461"/>
    </row>
    <row r="16" spans="1:40" ht="18.75" x14ac:dyDescent="0.3">
      <c r="A16" s="1"/>
      <c r="B16" s="1"/>
      <c r="C16" s="4" t="s">
        <v>1</v>
      </c>
      <c r="D16" s="4"/>
      <c r="E16" s="4"/>
      <c r="F16" s="1"/>
      <c r="G16" s="1"/>
      <c r="H16" s="1"/>
      <c r="I16" s="1"/>
      <c r="J16" s="2"/>
      <c r="K16" s="2"/>
      <c r="L16" s="1"/>
      <c r="M16" s="1"/>
      <c r="N16" s="1"/>
      <c r="O16" s="1"/>
      <c r="P16" s="1"/>
      <c r="Q16" s="2"/>
      <c r="R16" s="1"/>
      <c r="S16" s="1"/>
      <c r="T16" s="1"/>
      <c r="U16" s="1"/>
      <c r="V16" s="1"/>
      <c r="Y16" s="492" t="s">
        <v>26</v>
      </c>
      <c r="AK16" s="458" t="s">
        <v>27</v>
      </c>
      <c r="AN16" s="461"/>
    </row>
    <row r="17" spans="1:42" ht="16.5" customHeight="1" thickBot="1" x14ac:dyDescent="0.3">
      <c r="A17" s="1"/>
      <c r="B17" s="1"/>
      <c r="C17" s="5"/>
      <c r="D17" s="1"/>
      <c r="E17" s="6"/>
      <c r="F17" s="6"/>
      <c r="G17" s="6"/>
      <c r="H17" s="6"/>
      <c r="I17" s="6"/>
      <c r="J17" s="2"/>
      <c r="K17" s="2"/>
      <c r="L17" s="1"/>
      <c r="M17" s="1"/>
      <c r="N17" s="1"/>
      <c r="O17" s="1"/>
      <c r="P17" s="1"/>
      <c r="Q17" s="2"/>
      <c r="R17" s="1"/>
      <c r="S17" s="1"/>
      <c r="T17" s="1"/>
      <c r="U17" s="1"/>
      <c r="V17" s="1"/>
      <c r="Y17" s="458" t="s">
        <v>25</v>
      </c>
      <c r="AK17" s="462">
        <f>IF($N$26="Restaurantes e similares","litros/refeiç",IF($N$26="Cinema, teatros e locais de curta permanência", "litros/lugares",0))</f>
        <v>0</v>
      </c>
      <c r="AL17" s="458" t="str">
        <f>IF($N$26="Sanitários - Apenas acesso aberto ao público. Ex: estação rodoviária, ferroviária, estádio, etc.","litros/vasos","litros/pessoa")</f>
        <v>litros/pessoa</v>
      </c>
      <c r="AN17" s="461"/>
    </row>
    <row r="18" spans="1:42" ht="16.5" customHeight="1" x14ac:dyDescent="0.25">
      <c r="A18" s="1"/>
      <c r="B18" s="7"/>
      <c r="C18" s="8"/>
      <c r="D18" s="9"/>
      <c r="E18" s="10"/>
      <c r="F18" s="10"/>
      <c r="G18" s="11"/>
      <c r="H18" s="2"/>
      <c r="I18" s="12"/>
      <c r="J18" s="519"/>
      <c r="K18" s="519"/>
      <c r="L18" s="520"/>
      <c r="M18" s="520"/>
      <c r="N18" s="520"/>
      <c r="O18" s="520"/>
      <c r="P18" s="520"/>
      <c r="Q18" s="519"/>
      <c r="R18" s="520"/>
      <c r="S18" s="520"/>
      <c r="T18" s="520"/>
      <c r="U18" s="521"/>
      <c r="V18" s="1"/>
      <c r="Y18" s="458" t="s">
        <v>28</v>
      </c>
      <c r="AK18" s="458" t="s">
        <v>29</v>
      </c>
      <c r="AN18" s="461"/>
    </row>
    <row r="19" spans="1:42" ht="16.5" customHeight="1" x14ac:dyDescent="0.25">
      <c r="A19" s="1"/>
      <c r="B19" s="13"/>
      <c r="C19" s="14" t="s">
        <v>2</v>
      </c>
      <c r="D19" s="15"/>
      <c r="E19" s="15"/>
      <c r="F19" s="15"/>
      <c r="G19" s="16"/>
      <c r="H19" s="1"/>
      <c r="I19" s="17"/>
      <c r="J19" s="28"/>
      <c r="K19" s="646" t="s">
        <v>3</v>
      </c>
      <c r="L19" s="646"/>
      <c r="M19" s="646"/>
      <c r="N19" s="646"/>
      <c r="O19" s="646"/>
      <c r="P19" s="69"/>
      <c r="Q19" s="28"/>
      <c r="R19" s="69"/>
      <c r="S19" s="69"/>
      <c r="T19" s="69"/>
      <c r="U19" s="388"/>
      <c r="V19" s="1"/>
      <c r="Y19" s="458" t="s">
        <v>31</v>
      </c>
      <c r="AD19" s="631"/>
      <c r="AE19" s="631"/>
      <c r="AF19" s="631"/>
      <c r="AG19" s="631"/>
      <c r="AI19" s="460"/>
      <c r="AK19" s="462">
        <f>IF($N$26="Restaurantes e similares","refeições",IF($N$26="Cinema, teatros e locais de curta permanência", "lugares",0))</f>
        <v>0</v>
      </c>
      <c r="AL19" s="458" t="str">
        <f>IF($N$26="Sanitários - Apenas acesso aberto ao público. Ex: estação rodoviária, ferroviária, estádio, etc.","vasos","pessoas")</f>
        <v>pessoas</v>
      </c>
    </row>
    <row r="20" spans="1:42" ht="23.25" customHeight="1" thickBot="1" x14ac:dyDescent="0.4">
      <c r="A20" s="1"/>
      <c r="B20" s="13"/>
      <c r="C20" s="14" t="s">
        <v>4</v>
      </c>
      <c r="D20" s="15"/>
      <c r="E20" s="15"/>
      <c r="F20" s="15"/>
      <c r="G20" s="16"/>
      <c r="H20" s="1"/>
      <c r="I20" s="17"/>
      <c r="J20" s="28"/>
      <c r="K20" s="646"/>
      <c r="L20" s="646"/>
      <c r="M20" s="646"/>
      <c r="N20" s="646"/>
      <c r="O20" s="646"/>
      <c r="P20" s="522"/>
      <c r="Q20" s="28"/>
      <c r="R20" s="69"/>
      <c r="S20" s="69"/>
      <c r="T20" s="69"/>
      <c r="U20" s="388"/>
      <c r="V20" s="1"/>
      <c r="Y20" s="458" t="s">
        <v>32</v>
      </c>
      <c r="Z20" s="516"/>
      <c r="AD20" s="631"/>
      <c r="AE20" s="631"/>
      <c r="AF20" s="631"/>
      <c r="AG20" s="631"/>
      <c r="AI20" s="462"/>
      <c r="AJ20" s="476"/>
    </row>
    <row r="21" spans="1:42" ht="48" thickBot="1" x14ac:dyDescent="0.3">
      <c r="A21" s="1"/>
      <c r="B21" s="13"/>
      <c r="C21" s="540" t="s">
        <v>6</v>
      </c>
      <c r="D21" s="541" t="s">
        <v>324</v>
      </c>
      <c r="E21" s="542" t="s">
        <v>7</v>
      </c>
      <c r="F21" s="543" t="s">
        <v>8</v>
      </c>
      <c r="G21" s="18"/>
      <c r="H21" s="19"/>
      <c r="I21" s="20"/>
      <c r="J21" s="28"/>
      <c r="K21" s="28"/>
      <c r="L21" s="69"/>
      <c r="M21" s="69"/>
      <c r="N21" s="69"/>
      <c r="O21" s="69"/>
      <c r="P21" s="69"/>
      <c r="Q21" s="28"/>
      <c r="R21" s="69"/>
      <c r="S21" s="69"/>
      <c r="T21" s="69"/>
      <c r="U21" s="388"/>
      <c r="V21" s="1"/>
      <c r="Y21" s="458" t="s">
        <v>35</v>
      </c>
      <c r="Z21" s="517"/>
      <c r="AA21" s="463"/>
      <c r="AD21" s="631"/>
      <c r="AE21" s="631"/>
      <c r="AF21" s="631"/>
      <c r="AG21" s="631"/>
      <c r="AI21" s="462"/>
    </row>
    <row r="22" spans="1:42" ht="15.75" customHeight="1" x14ac:dyDescent="0.25">
      <c r="A22" s="1"/>
      <c r="B22" s="13"/>
      <c r="C22" s="544" t="s">
        <v>10</v>
      </c>
      <c r="D22" s="388"/>
      <c r="E22" s="69"/>
      <c r="F22" s="545"/>
      <c r="G22" s="16"/>
      <c r="H22" s="1"/>
      <c r="I22" s="17"/>
      <c r="J22" s="28"/>
      <c r="K22" s="28" t="s">
        <v>11</v>
      </c>
      <c r="L22" s="523" t="s">
        <v>253</v>
      </c>
      <c r="M22" s="523"/>
      <c r="N22" s="524"/>
      <c r="O22" s="524"/>
      <c r="P22" s="524"/>
      <c r="Q22" s="524"/>
      <c r="R22" s="524"/>
      <c r="S22" s="525"/>
      <c r="T22" s="69"/>
      <c r="U22" s="388"/>
      <c r="V22" s="1"/>
      <c r="X22" s="463"/>
      <c r="Y22" s="458" t="s">
        <v>37</v>
      </c>
      <c r="AA22" s="628"/>
      <c r="AD22" s="631"/>
      <c r="AE22" s="461"/>
      <c r="AF22" s="461"/>
      <c r="AG22" s="461"/>
      <c r="AI22" s="462"/>
      <c r="AK22" s="458" t="s">
        <v>38</v>
      </c>
      <c r="AN22" s="461"/>
    </row>
    <row r="23" spans="1:42" ht="15.75" x14ac:dyDescent="0.25">
      <c r="A23" s="1"/>
      <c r="B23" s="13"/>
      <c r="C23" s="546" t="s">
        <v>14</v>
      </c>
      <c r="D23" s="547" t="s">
        <v>15</v>
      </c>
      <c r="E23" s="527">
        <v>160</v>
      </c>
      <c r="F23" s="548">
        <v>1</v>
      </c>
      <c r="G23" s="23"/>
      <c r="H23" s="5"/>
      <c r="I23" s="17"/>
      <c r="J23" s="28"/>
      <c r="K23" s="28"/>
      <c r="L23" s="526" t="s">
        <v>16</v>
      </c>
      <c r="M23" s="523"/>
      <c r="N23" s="524"/>
      <c r="O23" s="524"/>
      <c r="P23" s="524"/>
      <c r="Q23" s="524"/>
      <c r="R23" s="524"/>
      <c r="S23" s="525"/>
      <c r="T23" s="69"/>
      <c r="U23" s="388"/>
      <c r="V23" s="1"/>
      <c r="Y23" s="458" t="s">
        <v>40</v>
      </c>
      <c r="Z23" s="518"/>
      <c r="AE23" s="461"/>
      <c r="AF23" s="461"/>
      <c r="AG23" s="461"/>
      <c r="AI23" s="462"/>
      <c r="AK23" s="458">
        <f>IF($N$26="Resid. Padrão Alto",1,IF($N$26="Resid. Padrão Médio",1,IF($N$26="Resid. Padrão Baixo",1,IF($N$26="Alojamento Provisório",1,IF($N$26="Fábrica em Geral",0.3,0)))))</f>
        <v>0.3</v>
      </c>
      <c r="AL23" s="458">
        <f>IF($N$26="Escritório",0.2,IF($N$26="Edifícios Públicos",0.2,IF($N$26="Escola (externatos) e locais de longa permanência",0.2,IF($N$26="Bares",0.1,0))))</f>
        <v>0</v>
      </c>
      <c r="AM23" s="458">
        <f>IF($N$26="Restaurantes e similares",0.1,IF($N$26="Cinema, teatros e locais de curta permanência",0.02,0))</f>
        <v>0</v>
      </c>
      <c r="AN23" s="458">
        <f>IF($N$26="Sanitários - Apenas acesso aberto ao público. Ex: estação rodoviária, ferroviária, estádio, etc.",4,0)</f>
        <v>0</v>
      </c>
    </row>
    <row r="24" spans="1:42" ht="16.5" thickBot="1" x14ac:dyDescent="0.3">
      <c r="A24" s="1"/>
      <c r="B24" s="13"/>
      <c r="C24" s="546" t="s">
        <v>18</v>
      </c>
      <c r="D24" s="547" t="s">
        <v>15</v>
      </c>
      <c r="E24" s="527">
        <v>130</v>
      </c>
      <c r="F24" s="548">
        <v>1</v>
      </c>
      <c r="G24" s="23"/>
      <c r="H24" s="5"/>
      <c r="I24" s="24"/>
      <c r="J24" s="28"/>
      <c r="K24" s="28"/>
      <c r="L24" s="523"/>
      <c r="M24" s="523"/>
      <c r="N24" s="524"/>
      <c r="O24" s="524"/>
      <c r="P24" s="524"/>
      <c r="Q24" s="524"/>
      <c r="R24" s="524"/>
      <c r="S24" s="525"/>
      <c r="T24" s="527"/>
      <c r="U24" s="388"/>
      <c r="V24" s="1"/>
      <c r="W24" s="464"/>
      <c r="Y24" s="516" t="s">
        <v>42</v>
      </c>
      <c r="AA24" s="464"/>
      <c r="AB24" s="464"/>
      <c r="AC24" s="464"/>
      <c r="AE24" s="461"/>
      <c r="AF24" s="461"/>
      <c r="AG24" s="461"/>
      <c r="AI24" s="462"/>
      <c r="AK24" s="458" t="s">
        <v>43</v>
      </c>
    </row>
    <row r="25" spans="1:42" ht="16.5" thickBot="1" x14ac:dyDescent="0.3">
      <c r="A25" s="1"/>
      <c r="B25" s="13"/>
      <c r="C25" s="546" t="s">
        <v>21</v>
      </c>
      <c r="D25" s="547" t="s">
        <v>15</v>
      </c>
      <c r="E25" s="527">
        <v>100</v>
      </c>
      <c r="F25" s="548">
        <v>1</v>
      </c>
      <c r="G25" s="23"/>
      <c r="H25" s="5"/>
      <c r="I25" s="24"/>
      <c r="J25" s="28"/>
      <c r="K25" s="28"/>
      <c r="L25" s="528"/>
      <c r="M25" s="529" t="s">
        <v>22</v>
      </c>
      <c r="N25" s="647" t="s">
        <v>23</v>
      </c>
      <c r="O25" s="648"/>
      <c r="P25" s="649"/>
      <c r="Q25" s="28"/>
      <c r="R25" s="69"/>
      <c r="S25" s="527"/>
      <c r="T25" s="69"/>
      <c r="U25" s="388"/>
      <c r="V25" s="1"/>
      <c r="Y25" s="461"/>
      <c r="AE25" s="461"/>
      <c r="AF25" s="461"/>
      <c r="AG25" s="461"/>
      <c r="AI25" s="462"/>
      <c r="AK25" s="458">
        <f>IF(S39&lt;=1500,1,IF(AND(1500&lt;S39,S39&lt;=3000),0.92,IF(AND(3000&lt;S39,S39&lt;=4500),0.83,IF(AND(4500&lt;S39,S39&lt;=6000),0.75,0))))</f>
        <v>1</v>
      </c>
      <c r="AL25" s="458">
        <f>IF(AND(6000&lt;S35,S35&lt;=7500),0.67,IF(AND(7500&lt;S35,S35&lt;=9000),0.58,0.5))</f>
        <v>0.5</v>
      </c>
    </row>
    <row r="26" spans="1:42" ht="16.5" thickBot="1" x14ac:dyDescent="0.3">
      <c r="A26" s="1"/>
      <c r="B26" s="13"/>
      <c r="C26" s="546" t="s">
        <v>24</v>
      </c>
      <c r="D26" s="547" t="s">
        <v>15</v>
      </c>
      <c r="E26" s="527">
        <v>80</v>
      </c>
      <c r="F26" s="548">
        <v>1</v>
      </c>
      <c r="G26" s="23"/>
      <c r="H26" s="5"/>
      <c r="I26" s="24"/>
      <c r="J26" s="28"/>
      <c r="K26" s="28"/>
      <c r="L26" s="528"/>
      <c r="M26" s="358" t="s">
        <v>85</v>
      </c>
      <c r="N26" s="650" t="s">
        <v>25</v>
      </c>
      <c r="O26" s="651"/>
      <c r="P26" s="652"/>
      <c r="Q26" s="26" t="s">
        <v>22</v>
      </c>
      <c r="R26" s="25" t="str">
        <f>IF(AK17&lt;&gt;0,AK17,AL17)</f>
        <v>litros/pessoa</v>
      </c>
      <c r="S26" s="25">
        <f>IF(AK13&lt;&gt;0,AK13,IF(AL13&lt;&gt;0,AL13,IF(AM13&lt;&gt;0,AM13,IF(AN13&lt;&gt;0,AN13,"Erro"))))</f>
        <v>70</v>
      </c>
      <c r="T26" s="69"/>
      <c r="U26" s="388"/>
      <c r="V26" s="1"/>
      <c r="Y26" s="461"/>
      <c r="Z26" s="461"/>
      <c r="AE26" s="461"/>
      <c r="AF26" s="461"/>
      <c r="AG26" s="461"/>
      <c r="AI26" s="460"/>
      <c r="AJ26" s="460"/>
    </row>
    <row r="27" spans="1:42" ht="15" customHeight="1" thickBot="1" x14ac:dyDescent="0.3">
      <c r="A27" s="1"/>
      <c r="B27" s="13"/>
      <c r="C27" s="546"/>
      <c r="D27" s="547"/>
      <c r="E27" s="527"/>
      <c r="F27" s="548"/>
      <c r="G27" s="23"/>
      <c r="H27" s="5"/>
      <c r="I27" s="24"/>
      <c r="J27" s="28"/>
      <c r="K27" s="28"/>
      <c r="L27" s="528"/>
      <c r="M27" s="529"/>
      <c r="N27" s="539"/>
      <c r="O27" s="539"/>
      <c r="P27" s="539"/>
      <c r="Q27" s="26"/>
      <c r="R27" s="355"/>
      <c r="S27" s="27"/>
      <c r="T27" s="69"/>
      <c r="U27" s="388"/>
      <c r="V27" s="1"/>
      <c r="Y27" s="458" t="s">
        <v>50</v>
      </c>
      <c r="Z27" s="461"/>
      <c r="AA27" s="465"/>
      <c r="AE27" s="461"/>
      <c r="AF27" s="461"/>
      <c r="AG27" s="461"/>
      <c r="AI27" s="460"/>
      <c r="AJ27" s="462"/>
      <c r="AP27" s="460" t="s">
        <v>10</v>
      </c>
    </row>
    <row r="28" spans="1:42" ht="14.25" customHeight="1" thickBot="1" x14ac:dyDescent="0.3">
      <c r="A28" s="1"/>
      <c r="B28" s="13"/>
      <c r="C28" s="549" t="s">
        <v>26</v>
      </c>
      <c r="D28" s="547"/>
      <c r="E28" s="527"/>
      <c r="F28" s="545"/>
      <c r="G28" s="16"/>
      <c r="H28" s="1"/>
      <c r="I28" s="24"/>
      <c r="J28" s="28"/>
      <c r="K28" s="28"/>
      <c r="L28" s="528"/>
      <c r="M28" s="529" t="s">
        <v>30</v>
      </c>
      <c r="N28" s="647" t="s">
        <v>23</v>
      </c>
      <c r="O28" s="648"/>
      <c r="P28" s="649"/>
      <c r="Q28" s="26"/>
      <c r="R28" s="27"/>
      <c r="S28" s="27"/>
      <c r="T28" s="69"/>
      <c r="U28" s="388"/>
      <c r="V28" s="1"/>
      <c r="W28" s="459"/>
      <c r="Y28" s="458" t="s">
        <v>52</v>
      </c>
      <c r="AA28" s="461"/>
      <c r="AB28" s="462"/>
      <c r="AC28" s="462"/>
      <c r="AH28" s="466"/>
      <c r="AI28" s="631"/>
      <c r="AJ28" s="462"/>
      <c r="AK28" s="458" t="s">
        <v>13</v>
      </c>
      <c r="AN28" s="461"/>
      <c r="AP28" s="462"/>
    </row>
    <row r="29" spans="1:42" ht="16.5" customHeight="1" thickBot="1" x14ac:dyDescent="0.3">
      <c r="A29" s="1"/>
      <c r="B29" s="13"/>
      <c r="C29" s="546" t="s">
        <v>25</v>
      </c>
      <c r="D29" s="547" t="s">
        <v>15</v>
      </c>
      <c r="E29" s="527">
        <v>70</v>
      </c>
      <c r="F29" s="550">
        <v>0.3</v>
      </c>
      <c r="G29" s="16"/>
      <c r="H29" s="1"/>
      <c r="I29" s="17"/>
      <c r="J29" s="28"/>
      <c r="K29" s="28"/>
      <c r="L29" s="530"/>
      <c r="M29" s="358" t="s">
        <v>85</v>
      </c>
      <c r="N29" s="650" t="s">
        <v>17</v>
      </c>
      <c r="O29" s="651"/>
      <c r="P29" s="652"/>
      <c r="Q29" s="534" t="s">
        <v>30</v>
      </c>
      <c r="R29" s="25" t="str">
        <f>IF(AK33&lt;&gt;0,AK33,AL33)</f>
        <v>litros/pessoa</v>
      </c>
      <c r="S29" s="25">
        <f>IF(N29="Não há outra contribuição",0,IF(AK29&lt;&gt;0,AK29,IF(AL29&lt;&gt;0,AL29,IF(AM29&lt;&gt;0,AM29,IF(AN29&lt;&gt;0,AN29,"Erro")))))</f>
        <v>130</v>
      </c>
      <c r="T29" s="69"/>
      <c r="U29" s="388"/>
      <c r="V29" s="1"/>
      <c r="Y29" s="66"/>
      <c r="AB29" s="462"/>
      <c r="AC29" s="462"/>
      <c r="AI29" s="631"/>
      <c r="AJ29" s="462"/>
      <c r="AK29" s="458">
        <f>IF($N$29="Resid. Padrão Alto",160,IF($N$29="Resid. Padrão Médio",130,IF($N$29="Resid. Padrão Baixo",100,IF($N$29="Alojamento Provisório",80,IF($N$29="Fábrica em Geral",70,0)))))</f>
        <v>130</v>
      </c>
      <c r="AL29" s="458">
        <f>IF($N$29="Escritório",50,IF($N$29="Edifícios Públicos",50,IF($N$29="Escola (externatos) e locais de longa permanência",50,IF($N$29="Bares",6,0))))</f>
        <v>0</v>
      </c>
      <c r="AM29" s="458">
        <f>IF($N$29="Restaurantes e similares",25,IF($N$29="Cinema, teatros e locais de curta permanência",2,0))</f>
        <v>0</v>
      </c>
      <c r="AN29" s="458">
        <f>IF($N$29="Sanitários - Apenas acesso aberto ao público. Ex: estação rodoviária, ferroviária, estádio, etc.",480,0)</f>
        <v>0</v>
      </c>
      <c r="AP29" s="462" t="s">
        <v>14</v>
      </c>
    </row>
    <row r="30" spans="1:42" ht="21.75" customHeight="1" thickBot="1" x14ac:dyDescent="0.3">
      <c r="A30" s="1"/>
      <c r="B30" s="13"/>
      <c r="C30" s="546" t="s">
        <v>28</v>
      </c>
      <c r="D30" s="547" t="s">
        <v>15</v>
      </c>
      <c r="E30" s="527">
        <v>50</v>
      </c>
      <c r="F30" s="550">
        <v>0.2</v>
      </c>
      <c r="G30" s="29"/>
      <c r="H30" s="1"/>
      <c r="I30" s="17"/>
      <c r="J30" s="28"/>
      <c r="K30" s="28"/>
      <c r="L30" s="623" t="s">
        <v>331</v>
      </c>
      <c r="M30" s="623" t="s">
        <v>332</v>
      </c>
      <c r="N30" s="624"/>
      <c r="O30" s="624"/>
      <c r="P30" s="624"/>
      <c r="Q30" s="625"/>
      <c r="R30" s="69"/>
      <c r="S30" s="527"/>
      <c r="T30" s="69"/>
      <c r="U30" s="388"/>
      <c r="V30" s="1"/>
      <c r="Y30" s="465"/>
      <c r="Z30" s="66"/>
      <c r="AB30" s="462"/>
      <c r="AC30" s="462"/>
      <c r="AI30" s="631"/>
      <c r="AJ30" s="462"/>
      <c r="AK30" s="458" t="s">
        <v>20</v>
      </c>
      <c r="AP30" s="462" t="s">
        <v>18</v>
      </c>
    </row>
    <row r="31" spans="1:42" ht="14.25" customHeight="1" thickBot="1" x14ac:dyDescent="0.3">
      <c r="A31" s="1"/>
      <c r="B31" s="13"/>
      <c r="C31" s="546" t="s">
        <v>31</v>
      </c>
      <c r="D31" s="547" t="s">
        <v>15</v>
      </c>
      <c r="E31" s="527">
        <v>50</v>
      </c>
      <c r="F31" s="550">
        <v>0.2</v>
      </c>
      <c r="G31" s="29"/>
      <c r="H31" s="30"/>
      <c r="I31" s="17"/>
      <c r="J31" s="28"/>
      <c r="K31" s="28" t="s">
        <v>33</v>
      </c>
      <c r="L31" s="523" t="s">
        <v>34</v>
      </c>
      <c r="M31" s="523"/>
      <c r="N31" s="69"/>
      <c r="O31" s="69"/>
      <c r="P31" s="69"/>
      <c r="Q31" s="534" t="s">
        <v>22</v>
      </c>
      <c r="R31" s="25" t="str">
        <f>IF(AK19&lt;&gt;0,AK19,AL19)</f>
        <v>pessoas</v>
      </c>
      <c r="S31" s="31">
        <v>20</v>
      </c>
      <c r="T31" s="527"/>
      <c r="U31" s="388"/>
      <c r="V31" s="1"/>
      <c r="Y31" s="462"/>
      <c r="Z31" s="461"/>
      <c r="AA31" s="66"/>
      <c r="AB31" s="462"/>
      <c r="AC31" s="462"/>
      <c r="AI31" s="631"/>
      <c r="AJ31" s="462"/>
      <c r="AK31" s="462">
        <f>IF(N29="Restaurantes e similares","nº de refeição",IF(N29="Cinema, teatros e locais de curta permanência", "nº de lugares",0))</f>
        <v>0</v>
      </c>
      <c r="AL31" s="458" t="str">
        <f>IF(N29="Sanitários - Apenas acesso aberto ao público. Ex: estação rodoviária, ferroviária, estádio, etc.","nº de vasos","nº de pessoas")</f>
        <v>nº de pessoas</v>
      </c>
      <c r="AN31" s="461"/>
      <c r="AP31" s="462" t="s">
        <v>21</v>
      </c>
    </row>
    <row r="32" spans="1:42" ht="16.5" thickBot="1" x14ac:dyDescent="0.3">
      <c r="A32" s="1"/>
      <c r="B32" s="13"/>
      <c r="C32" s="551" t="s">
        <v>39</v>
      </c>
      <c r="D32" s="547" t="s">
        <v>15</v>
      </c>
      <c r="E32" s="552">
        <v>50</v>
      </c>
      <c r="F32" s="550">
        <v>0.2</v>
      </c>
      <c r="G32" s="29"/>
      <c r="H32" s="30"/>
      <c r="I32" s="32"/>
      <c r="J32" s="28"/>
      <c r="K32" s="28"/>
      <c r="L32" s="526" t="s">
        <v>36</v>
      </c>
      <c r="M32" s="526"/>
      <c r="N32" s="535"/>
      <c r="O32" s="526"/>
      <c r="P32" s="535"/>
      <c r="Q32" s="514"/>
      <c r="R32" s="536"/>
      <c r="S32" s="527"/>
      <c r="T32" s="69"/>
      <c r="U32" s="388"/>
      <c r="V32" s="1"/>
      <c r="W32" s="459"/>
      <c r="Y32" s="462" t="s">
        <v>325</v>
      </c>
      <c r="AA32" s="461"/>
      <c r="AB32" s="462"/>
      <c r="AC32" s="462"/>
      <c r="AE32" s="461"/>
      <c r="AF32" s="461"/>
      <c r="AG32" s="461"/>
      <c r="AJ32" s="462"/>
      <c r="AK32" s="458" t="s">
        <v>27</v>
      </c>
      <c r="AN32" s="461"/>
      <c r="AP32" s="462" t="s">
        <v>24</v>
      </c>
    </row>
    <row r="33" spans="1:42" ht="16.5" thickBot="1" x14ac:dyDescent="0.3">
      <c r="A33" s="1"/>
      <c r="B33" s="13"/>
      <c r="C33" s="551" t="s">
        <v>41</v>
      </c>
      <c r="D33" s="547"/>
      <c r="E33" s="552"/>
      <c r="F33" s="550"/>
      <c r="G33" s="29"/>
      <c r="H33" s="30"/>
      <c r="I33" s="32"/>
      <c r="J33" s="28"/>
      <c r="K33" s="28"/>
      <c r="L33" s="526"/>
      <c r="M33" s="515" t="s">
        <v>337</v>
      </c>
      <c r="N33" s="512"/>
      <c r="O33" s="513"/>
      <c r="P33" s="69"/>
      <c r="Q33" s="514" t="s">
        <v>30</v>
      </c>
      <c r="R33" s="25" t="str">
        <f>IF(AK35&lt;&gt;0,AK35,AL35)</f>
        <v>pessoas</v>
      </c>
      <c r="S33" s="31">
        <v>0</v>
      </c>
      <c r="T33" s="69"/>
      <c r="U33" s="388"/>
      <c r="V33" s="1"/>
      <c r="Y33" s="462" t="s">
        <v>322</v>
      </c>
      <c r="Z33" s="462"/>
      <c r="AB33" s="462"/>
      <c r="AC33" s="462"/>
      <c r="AE33" s="461"/>
      <c r="AF33" s="461"/>
      <c r="AG33" s="461"/>
      <c r="AJ33" s="460"/>
      <c r="AK33" s="462">
        <f>IF($N$29="Restaurantes e similares","litros/refeiç",IF($N$29="Cinema, teatros e locais de curta permanência", "litros/lugares",0))</f>
        <v>0</v>
      </c>
      <c r="AL33" s="458" t="str">
        <f>IF($N$29="Sanitários - Apenas acesso aberto ao público. Ex: estação rodoviária, ferroviária, estádio, etc.","litros/vasos","litros/pessoa")</f>
        <v>litros/pessoa</v>
      </c>
      <c r="AN33" s="461"/>
      <c r="AP33" s="462"/>
    </row>
    <row r="34" spans="1:42" ht="16.5" thickBot="1" x14ac:dyDescent="0.3">
      <c r="A34" s="33"/>
      <c r="B34" s="13"/>
      <c r="C34" s="546" t="s">
        <v>35</v>
      </c>
      <c r="D34" s="547" t="s">
        <v>15</v>
      </c>
      <c r="E34" s="552">
        <v>6</v>
      </c>
      <c r="F34" s="550">
        <v>0.1</v>
      </c>
      <c r="G34" s="29"/>
      <c r="H34" s="30"/>
      <c r="I34" s="32"/>
      <c r="J34" s="28"/>
      <c r="K34" s="28"/>
      <c r="L34" s="530"/>
      <c r="M34" s="530"/>
      <c r="N34" s="69"/>
      <c r="O34" s="69"/>
      <c r="P34" s="69"/>
      <c r="Q34" s="28"/>
      <c r="R34" s="69"/>
      <c r="S34" s="527"/>
      <c r="T34" s="69"/>
      <c r="U34" s="388"/>
      <c r="V34" s="1"/>
      <c r="Y34" s="66"/>
      <c r="Z34" s="66"/>
      <c r="AA34" s="462"/>
      <c r="AB34" s="462"/>
      <c r="AC34" s="462"/>
      <c r="AE34" s="461"/>
      <c r="AF34" s="461"/>
      <c r="AG34" s="461"/>
      <c r="AJ34" s="460"/>
      <c r="AK34" s="458" t="s">
        <v>29</v>
      </c>
      <c r="AN34" s="461"/>
      <c r="AO34" s="461"/>
      <c r="AP34" s="460" t="s">
        <v>26</v>
      </c>
    </row>
    <row r="35" spans="1:42" ht="16.5" thickBot="1" x14ac:dyDescent="0.3">
      <c r="A35" s="33"/>
      <c r="B35" s="13"/>
      <c r="C35" s="546" t="s">
        <v>37</v>
      </c>
      <c r="D35" s="547" t="s">
        <v>44</v>
      </c>
      <c r="E35" s="552">
        <v>25</v>
      </c>
      <c r="F35" s="550">
        <v>0.1</v>
      </c>
      <c r="G35" s="29"/>
      <c r="H35" s="30"/>
      <c r="I35" s="32"/>
      <c r="J35" s="28"/>
      <c r="K35" s="28" t="s">
        <v>45</v>
      </c>
      <c r="L35" s="523" t="s">
        <v>46</v>
      </c>
      <c r="M35" s="523"/>
      <c r="N35" s="28"/>
      <c r="O35" s="28"/>
      <c r="P35" s="28"/>
      <c r="Q35" s="534" t="s">
        <v>22</v>
      </c>
      <c r="R35" s="42" t="s">
        <v>47</v>
      </c>
      <c r="S35" s="509">
        <f>S26*S31</f>
        <v>1400</v>
      </c>
      <c r="T35" s="389"/>
      <c r="U35" s="388"/>
      <c r="V35" s="34"/>
      <c r="Y35" s="462"/>
      <c r="Z35" s="631"/>
      <c r="AA35" s="66"/>
      <c r="AB35" s="462"/>
      <c r="AC35" s="462"/>
      <c r="AE35" s="461"/>
      <c r="AF35" s="461"/>
      <c r="AG35" s="461"/>
      <c r="AI35" s="461"/>
      <c r="AJ35" s="462"/>
      <c r="AK35" s="462">
        <f>IF($N$29="Restaurantes e similares","refeições",IF($N$29="Cinema, teatros e locais de curta permanência", "lugares",0))</f>
        <v>0</v>
      </c>
      <c r="AL35" s="458" t="str">
        <f>IF($N$29="Sanitários - Apenas acesso aberto ao público. Ex: estação rodoviária, ferroviária, estádio, etc.","vasos","pessoas")</f>
        <v>pessoas</v>
      </c>
      <c r="AO35" s="461"/>
      <c r="AP35" s="460"/>
    </row>
    <row r="36" spans="1:42" ht="15.75" customHeight="1" thickBot="1" x14ac:dyDescent="0.3">
      <c r="A36" s="1"/>
      <c r="B36" s="13"/>
      <c r="C36" s="546" t="s">
        <v>40</v>
      </c>
      <c r="D36" s="547" t="s">
        <v>48</v>
      </c>
      <c r="E36" s="552">
        <v>2</v>
      </c>
      <c r="F36" s="550">
        <v>0.02</v>
      </c>
      <c r="G36" s="29"/>
      <c r="H36" s="30"/>
      <c r="I36" s="32"/>
      <c r="J36" s="28"/>
      <c r="K36" s="28"/>
      <c r="L36" s="526" t="s">
        <v>49</v>
      </c>
      <c r="M36" s="523"/>
      <c r="N36" s="28"/>
      <c r="O36" s="28"/>
      <c r="P36" s="28"/>
      <c r="Q36" s="534"/>
      <c r="R36" s="69"/>
      <c r="S36" s="510"/>
      <c r="T36" s="69"/>
      <c r="U36" s="388"/>
      <c r="V36" s="1"/>
      <c r="W36" s="471"/>
      <c r="Y36" s="462"/>
      <c r="AA36" s="631"/>
      <c r="AB36" s="467"/>
      <c r="AC36" s="467"/>
      <c r="AH36" s="461"/>
      <c r="AI36" s="461"/>
      <c r="AJ36" s="462"/>
      <c r="AO36" s="461"/>
      <c r="AP36" s="462" t="s">
        <v>25</v>
      </c>
    </row>
    <row r="37" spans="1:42" ht="16.5" customHeight="1" thickBot="1" x14ac:dyDescent="0.3">
      <c r="A37" s="1"/>
      <c r="B37" s="13"/>
      <c r="C37" s="553" t="s">
        <v>42</v>
      </c>
      <c r="D37" s="547" t="s">
        <v>51</v>
      </c>
      <c r="E37" s="552">
        <v>480</v>
      </c>
      <c r="F37" s="550">
        <v>4</v>
      </c>
      <c r="G37" s="29"/>
      <c r="H37" s="30"/>
      <c r="I37" s="32"/>
      <c r="J37" s="28"/>
      <c r="K37" s="28"/>
      <c r="L37" s="530"/>
      <c r="M37" s="530"/>
      <c r="N37" s="69"/>
      <c r="O37" s="69"/>
      <c r="P37" s="69"/>
      <c r="Q37" s="534" t="s">
        <v>30</v>
      </c>
      <c r="R37" s="42" t="s">
        <v>47</v>
      </c>
      <c r="S37" s="509">
        <f>S29*S33</f>
        <v>0</v>
      </c>
      <c r="T37" s="69"/>
      <c r="U37" s="388"/>
      <c r="V37" s="1"/>
      <c r="Y37" s="66"/>
      <c r="AB37" s="462"/>
      <c r="AC37" s="462"/>
      <c r="AH37" s="461"/>
      <c r="AI37" s="461"/>
      <c r="AJ37" s="462"/>
      <c r="AP37" s="462" t="s">
        <v>28</v>
      </c>
    </row>
    <row r="38" spans="1:42" ht="15" customHeight="1" thickBot="1" x14ac:dyDescent="0.3">
      <c r="A38" s="1"/>
      <c r="B38" s="13"/>
      <c r="C38" s="553" t="s">
        <v>327</v>
      </c>
      <c r="D38" s="547"/>
      <c r="E38" s="552"/>
      <c r="F38" s="550"/>
      <c r="G38" s="29"/>
      <c r="H38" s="30"/>
      <c r="I38" s="32"/>
      <c r="J38" s="28"/>
      <c r="K38" s="28"/>
      <c r="L38" s="530"/>
      <c r="M38" s="530"/>
      <c r="N38" s="69"/>
      <c r="O38" s="69"/>
      <c r="P38" s="69"/>
      <c r="Q38" s="534"/>
      <c r="R38" s="42"/>
      <c r="S38" s="511"/>
      <c r="T38" s="69"/>
      <c r="U38" s="388"/>
      <c r="V38" s="1"/>
      <c r="Y38" s="465"/>
      <c r="Z38" s="66"/>
      <c r="AB38" s="462"/>
      <c r="AC38" s="462"/>
      <c r="AH38" s="461"/>
      <c r="AI38" s="461"/>
      <c r="AJ38" s="462"/>
      <c r="AK38" s="458" t="s">
        <v>38</v>
      </c>
      <c r="AN38" s="461"/>
      <c r="AP38" s="462" t="s">
        <v>31</v>
      </c>
    </row>
    <row r="39" spans="1:42" ht="15" customHeight="1" thickBot="1" x14ac:dyDescent="0.3">
      <c r="A39" s="1"/>
      <c r="B39" s="13"/>
      <c r="C39" s="554" t="s">
        <v>326</v>
      </c>
      <c r="D39" s="555"/>
      <c r="E39" s="556"/>
      <c r="F39" s="557"/>
      <c r="G39" s="29"/>
      <c r="H39" s="30"/>
      <c r="I39" s="32"/>
      <c r="J39" s="28"/>
      <c r="K39" s="28"/>
      <c r="L39" s="530"/>
      <c r="M39" s="530"/>
      <c r="N39" s="69"/>
      <c r="O39" s="69"/>
      <c r="P39" s="69"/>
      <c r="Q39" s="534" t="s">
        <v>54</v>
      </c>
      <c r="R39" s="42" t="s">
        <v>47</v>
      </c>
      <c r="S39" s="509">
        <f>S35+S37</f>
        <v>1400</v>
      </c>
      <c r="T39" s="69"/>
      <c r="U39" s="388"/>
      <c r="V39" s="37"/>
      <c r="Y39" s="462"/>
      <c r="Z39" s="461"/>
      <c r="AA39" s="66"/>
      <c r="AB39" s="462"/>
      <c r="AC39" s="462"/>
      <c r="AE39" s="461"/>
      <c r="AF39" s="461"/>
      <c r="AG39" s="461"/>
      <c r="AI39" s="461"/>
      <c r="AJ39" s="462"/>
      <c r="AK39" s="458">
        <f>IF($N$29="Resid. Padrão Alto",1,IF($N$29="Resid. Padrão Médio",1,IF($N$29="Resid. Padrão Baixo",1,IF($N$29="Alojamento Provisório",1,IF($N$29="Fábrica em Geral",0.3,0)))))</f>
        <v>1</v>
      </c>
      <c r="AL39" s="458">
        <f>IF($N$29="Escritório",0.2,IF($N$29="Edifícios Públicos",0.2,IF($N$29="Escola (externatos) e locais de longa permanência",0.2,IF($N$29="Bares",0.1,0))))</f>
        <v>0</v>
      </c>
      <c r="AM39" s="458">
        <f>IF($N$29="Restaurantes e similares",0.1,IF($N$29="Cinema, teatros e locais de curta permanência",0.02,0))</f>
        <v>0</v>
      </c>
      <c r="AN39" s="458">
        <f>IF($N$29="Sanitários - Apenas acesso aberto ao público. Ex: estação rodoviária, ferroviária, estádio, etc.",4,0)</f>
        <v>0</v>
      </c>
      <c r="AP39" s="462" t="s">
        <v>32</v>
      </c>
    </row>
    <row r="40" spans="1:42" ht="16.5" thickBot="1" x14ac:dyDescent="0.3">
      <c r="A40" s="1"/>
      <c r="B40" s="13"/>
      <c r="C40" s="35"/>
      <c r="D40" s="36"/>
      <c r="E40" s="36"/>
      <c r="F40" s="36"/>
      <c r="G40" s="29"/>
      <c r="H40" s="30"/>
      <c r="I40" s="32"/>
      <c r="J40" s="28"/>
      <c r="K40" s="355" t="s">
        <v>56</v>
      </c>
      <c r="L40" s="531" t="s">
        <v>57</v>
      </c>
      <c r="M40" s="532"/>
      <c r="N40" s="355"/>
      <c r="O40" s="69"/>
      <c r="P40" s="69"/>
      <c r="Q40" s="28"/>
      <c r="R40" s="69"/>
      <c r="S40" s="39"/>
      <c r="T40" s="69"/>
      <c r="U40" s="388"/>
      <c r="V40" s="1"/>
      <c r="W40" s="471"/>
      <c r="Y40" s="462"/>
      <c r="AA40" s="461"/>
      <c r="AB40" s="467"/>
      <c r="AC40" s="467"/>
      <c r="AI40" s="461"/>
      <c r="AJ40" s="462"/>
      <c r="AK40" s="458" t="s">
        <v>43</v>
      </c>
      <c r="AP40" s="462" t="s">
        <v>35</v>
      </c>
    </row>
    <row r="41" spans="1:42" ht="16.5" thickBot="1" x14ac:dyDescent="0.3">
      <c r="A41" s="1"/>
      <c r="B41" s="13"/>
      <c r="C41" s="14" t="s">
        <v>53</v>
      </c>
      <c r="D41" s="38"/>
      <c r="E41" s="38"/>
      <c r="F41" s="36"/>
      <c r="G41" s="29"/>
      <c r="H41" s="30"/>
      <c r="I41" s="32"/>
      <c r="J41" s="28"/>
      <c r="K41" s="28"/>
      <c r="L41" s="530" t="s">
        <v>60</v>
      </c>
      <c r="M41" s="530"/>
      <c r="N41" s="69"/>
      <c r="O41" s="69"/>
      <c r="P41" s="69"/>
      <c r="Q41" s="534" t="s">
        <v>22</v>
      </c>
      <c r="R41" s="42" t="s">
        <v>47</v>
      </c>
      <c r="S41" s="25">
        <f>IF(AK23&lt;&gt;0,AK23,IF(AL23&lt;&gt;0,AL23,IF(AM23&lt;&gt;0,AM23,IF(AN23&lt;&gt;0,AN23,"Erro"))))</f>
        <v>0.3</v>
      </c>
      <c r="T41" s="69"/>
      <c r="U41" s="388"/>
      <c r="V41" s="1"/>
      <c r="Y41" s="465"/>
      <c r="AB41" s="462"/>
      <c r="AC41" s="462"/>
      <c r="AI41" s="461"/>
      <c r="AJ41" s="462"/>
      <c r="AK41" s="458">
        <f>IF(S53&lt;=1500,1,IF(AND(1500&lt;S53,S53&lt;=3000),0.92,IF(AND(3000&lt;S53,S53&lt;=4500),0.83,IF(AND(4500&lt;S53,S53&lt;=6000),0.75,0))))</f>
        <v>1</v>
      </c>
      <c r="AL41" s="458">
        <f>IF(AND(6000&lt;S53,S53&lt;=7500),0.67,IF(AND(7500&lt;S53,S53&lt;=9000),0.58,0.5))</f>
        <v>0.5</v>
      </c>
      <c r="AP41" s="462" t="s">
        <v>37</v>
      </c>
    </row>
    <row r="42" spans="1:42" ht="16.5" thickBot="1" x14ac:dyDescent="0.3">
      <c r="A42" s="1"/>
      <c r="B42" s="13"/>
      <c r="C42" s="14" t="s">
        <v>55</v>
      </c>
      <c r="D42" s="38"/>
      <c r="E42" s="38"/>
      <c r="F42" s="36"/>
      <c r="G42" s="29"/>
      <c r="H42" s="30"/>
      <c r="I42" s="32"/>
      <c r="J42" s="28"/>
      <c r="K42" s="28"/>
      <c r="L42" s="530"/>
      <c r="M42" s="530"/>
      <c r="N42" s="69"/>
      <c r="O42" s="69"/>
      <c r="P42" s="69"/>
      <c r="Q42" s="28"/>
      <c r="R42" s="69"/>
      <c r="S42" s="39"/>
      <c r="T42" s="69"/>
      <c r="U42" s="388"/>
      <c r="V42" s="1"/>
      <c r="Y42" s="66"/>
      <c r="Z42" s="465"/>
      <c r="AB42" s="462"/>
      <c r="AC42" s="462"/>
      <c r="AI42" s="468"/>
      <c r="AJ42" s="463"/>
      <c r="AP42" s="462" t="s">
        <v>40</v>
      </c>
    </row>
    <row r="43" spans="1:42" ht="16.5" thickBot="1" x14ac:dyDescent="0.3">
      <c r="A43" s="1"/>
      <c r="B43" s="13"/>
      <c r="C43" s="703" t="s">
        <v>58</v>
      </c>
      <c r="D43" s="705" t="s">
        <v>59</v>
      </c>
      <c r="E43" s="706"/>
      <c r="F43" s="36"/>
      <c r="G43" s="29"/>
      <c r="H43" s="30"/>
      <c r="I43" s="32"/>
      <c r="J43" s="28"/>
      <c r="K43" s="28"/>
      <c r="L43" s="530"/>
      <c r="M43" s="530"/>
      <c r="N43" s="69"/>
      <c r="O43" s="69"/>
      <c r="P43" s="69"/>
      <c r="Q43" s="534" t="s">
        <v>30</v>
      </c>
      <c r="R43" s="42" t="s">
        <v>47</v>
      </c>
      <c r="S43" s="508">
        <f>IF(AK39&lt;&gt;0,AK39,IF(AL39&lt;&gt;0,AL39,IF(AM39&lt;&gt;0,AM39,IF(AN39&lt;&gt;0,AN39,0))))</f>
        <v>1</v>
      </c>
      <c r="T43" s="69"/>
      <c r="U43" s="388"/>
      <c r="V43" s="37"/>
      <c r="Y43" s="462"/>
      <c r="Z43" s="698" t="s">
        <v>79</v>
      </c>
      <c r="AA43" s="465"/>
      <c r="AB43" s="462"/>
      <c r="AC43" s="462"/>
      <c r="AP43" s="463" t="s">
        <v>42</v>
      </c>
    </row>
    <row r="44" spans="1:42" ht="16.5" thickBot="1" x14ac:dyDescent="0.3">
      <c r="A44" s="1"/>
      <c r="B44" s="13"/>
      <c r="C44" s="704"/>
      <c r="D44" s="558" t="s">
        <v>61</v>
      </c>
      <c r="E44" s="559" t="s">
        <v>62</v>
      </c>
      <c r="F44" s="36"/>
      <c r="G44" s="29"/>
      <c r="H44" s="30"/>
      <c r="I44" s="32"/>
      <c r="J44" s="28"/>
      <c r="K44" s="28"/>
      <c r="L44" s="531"/>
      <c r="M44" s="531"/>
      <c r="N44" s="69"/>
      <c r="O44" s="69"/>
      <c r="P44" s="69"/>
      <c r="Q44" s="28"/>
      <c r="R44" s="69"/>
      <c r="S44" s="22"/>
      <c r="T44" s="527"/>
      <c r="U44" s="388"/>
      <c r="V44" s="1"/>
      <c r="W44" s="471"/>
      <c r="Y44" s="462"/>
      <c r="Z44" s="698"/>
      <c r="AA44" s="631"/>
      <c r="AB44" s="467"/>
      <c r="AC44" s="467"/>
      <c r="AK44" s="66"/>
      <c r="AL44" s="630"/>
    </row>
    <row r="45" spans="1:42" ht="16.5" thickBot="1" x14ac:dyDescent="0.3">
      <c r="A45" s="1"/>
      <c r="B45" s="13"/>
      <c r="C45" s="560" t="s">
        <v>63</v>
      </c>
      <c r="D45" s="561">
        <v>1</v>
      </c>
      <c r="E45" s="562">
        <v>24</v>
      </c>
      <c r="F45" s="36"/>
      <c r="G45" s="29"/>
      <c r="H45" s="30"/>
      <c r="I45" s="32"/>
      <c r="J45" s="28"/>
      <c r="K45" s="28" t="s">
        <v>66</v>
      </c>
      <c r="L45" s="531" t="s">
        <v>67</v>
      </c>
      <c r="M45" s="531"/>
      <c r="N45" s="69"/>
      <c r="O45" s="69"/>
      <c r="P45" s="69"/>
      <c r="Q45" s="28"/>
      <c r="R45" s="69"/>
      <c r="S45" s="22"/>
      <c r="T45" s="69"/>
      <c r="U45" s="388"/>
      <c r="V45" s="1"/>
      <c r="W45" s="471"/>
      <c r="Y45" s="462"/>
      <c r="Z45" s="627">
        <v>1</v>
      </c>
      <c r="AB45" s="462"/>
      <c r="AC45" s="462"/>
      <c r="AK45" s="66"/>
      <c r="AL45" s="630"/>
      <c r="AP45" s="714" t="s">
        <v>79</v>
      </c>
    </row>
    <row r="46" spans="1:42" ht="16.5" thickBot="1" x14ac:dyDescent="0.3">
      <c r="A46" s="1"/>
      <c r="B46" s="13"/>
      <c r="C46" s="563" t="s">
        <v>64</v>
      </c>
      <c r="D46" s="564">
        <v>0.92</v>
      </c>
      <c r="E46" s="565">
        <v>22</v>
      </c>
      <c r="F46" s="36"/>
      <c r="G46" s="29"/>
      <c r="H46" s="30"/>
      <c r="I46" s="32"/>
      <c r="J46" s="28"/>
      <c r="K46" s="28"/>
      <c r="L46" s="530" t="s">
        <v>69</v>
      </c>
      <c r="M46" s="530"/>
      <c r="N46" s="69"/>
      <c r="O46" s="69"/>
      <c r="P46" s="69"/>
      <c r="Q46" s="534"/>
      <c r="R46" s="42" t="s">
        <v>256</v>
      </c>
      <c r="S46" s="40">
        <f>IF(AK25&lt;&gt;0,AK25,AL25)</f>
        <v>1</v>
      </c>
      <c r="T46" s="69"/>
      <c r="U46" s="388"/>
      <c r="V46" s="1"/>
      <c r="Y46" s="66"/>
      <c r="Z46" s="627">
        <v>2</v>
      </c>
      <c r="AB46" s="462"/>
      <c r="AC46" s="462"/>
      <c r="AI46" s="66"/>
      <c r="AJ46" s="630"/>
      <c r="AK46" s="66"/>
      <c r="AL46" s="630"/>
      <c r="AP46" s="714"/>
    </row>
    <row r="47" spans="1:42" ht="15.75" x14ac:dyDescent="0.25">
      <c r="A47" s="1"/>
      <c r="B47" s="13"/>
      <c r="C47" s="563" t="s">
        <v>65</v>
      </c>
      <c r="D47" s="564">
        <v>0.83</v>
      </c>
      <c r="E47" s="565">
        <v>20</v>
      </c>
      <c r="F47" s="36"/>
      <c r="G47" s="29"/>
      <c r="H47" s="30"/>
      <c r="I47" s="32"/>
      <c r="J47" s="28"/>
      <c r="K47" s="28"/>
      <c r="L47" s="530"/>
      <c r="M47" s="530" t="s">
        <v>71</v>
      </c>
      <c r="N47" s="69"/>
      <c r="O47" s="69"/>
      <c r="P47" s="69"/>
      <c r="Q47" s="534"/>
      <c r="R47" s="69"/>
      <c r="S47" s="527"/>
      <c r="T47" s="69"/>
      <c r="U47" s="388"/>
      <c r="V47" s="41"/>
      <c r="Y47" s="66"/>
      <c r="Z47" s="627">
        <v>3</v>
      </c>
      <c r="AB47" s="462"/>
      <c r="AC47" s="462"/>
      <c r="AI47" s="66"/>
      <c r="AJ47" s="630"/>
      <c r="AK47" s="66"/>
      <c r="AL47" s="630"/>
      <c r="AP47" s="627">
        <v>1</v>
      </c>
    </row>
    <row r="48" spans="1:42" ht="15.75" x14ac:dyDescent="0.25">
      <c r="A48" s="1"/>
      <c r="B48" s="13"/>
      <c r="C48" s="563" t="s">
        <v>68</v>
      </c>
      <c r="D48" s="564">
        <v>0.75</v>
      </c>
      <c r="E48" s="565">
        <v>18</v>
      </c>
      <c r="F48" s="36"/>
      <c r="G48" s="29"/>
      <c r="H48" s="30"/>
      <c r="I48" s="32"/>
      <c r="J48" s="28"/>
      <c r="K48" s="28"/>
      <c r="L48" s="530"/>
      <c r="M48" s="530"/>
      <c r="N48" s="69"/>
      <c r="O48" s="69"/>
      <c r="P48" s="69"/>
      <c r="Q48" s="534"/>
      <c r="R48" s="69"/>
      <c r="S48" s="42"/>
      <c r="T48" s="69"/>
      <c r="U48" s="388"/>
      <c r="V48" s="1"/>
      <c r="Z48" s="627">
        <v>4</v>
      </c>
      <c r="AA48" s="631"/>
      <c r="AB48" s="462"/>
      <c r="AC48" s="462"/>
      <c r="AI48" s="66"/>
      <c r="AJ48" s="630"/>
      <c r="AK48" s="66"/>
      <c r="AL48" s="630"/>
      <c r="AP48" s="627">
        <v>2</v>
      </c>
    </row>
    <row r="49" spans="1:47" ht="15.75" x14ac:dyDescent="0.25">
      <c r="A49" s="1"/>
      <c r="B49" s="13"/>
      <c r="C49" s="563" t="s">
        <v>70</v>
      </c>
      <c r="D49" s="564">
        <v>0.67</v>
      </c>
      <c r="E49" s="565">
        <v>16</v>
      </c>
      <c r="F49" s="36"/>
      <c r="G49" s="29"/>
      <c r="H49" s="30"/>
      <c r="I49" s="32"/>
      <c r="J49" s="28"/>
      <c r="K49" s="28"/>
      <c r="L49" s="530"/>
      <c r="M49" s="530"/>
      <c r="N49" s="69"/>
      <c r="O49" s="69"/>
      <c r="P49" s="69"/>
      <c r="Q49" s="28"/>
      <c r="R49" s="69"/>
      <c r="S49" s="527"/>
      <c r="T49" s="69"/>
      <c r="U49" s="388"/>
      <c r="V49" s="1"/>
      <c r="Z49" s="627">
        <v>5</v>
      </c>
      <c r="AA49" s="631"/>
      <c r="AB49" s="462"/>
      <c r="AC49" s="462"/>
      <c r="AI49" s="66"/>
      <c r="AJ49" s="630"/>
      <c r="AK49" s="66"/>
      <c r="AL49" s="630"/>
      <c r="AP49" s="627">
        <v>3</v>
      </c>
    </row>
    <row r="50" spans="1:47" ht="15.75" x14ac:dyDescent="0.25">
      <c r="A50" s="1"/>
      <c r="B50" s="13"/>
      <c r="C50" s="563" t="s">
        <v>72</v>
      </c>
      <c r="D50" s="564">
        <v>0.57999999999999996</v>
      </c>
      <c r="E50" s="565">
        <v>14</v>
      </c>
      <c r="F50" s="36"/>
      <c r="G50" s="29"/>
      <c r="H50" s="30"/>
      <c r="I50" s="32"/>
      <c r="J50" s="28"/>
      <c r="K50" s="28"/>
      <c r="L50" s="531"/>
      <c r="M50" s="531"/>
      <c r="N50" s="69"/>
      <c r="O50" s="69"/>
      <c r="P50" s="69"/>
      <c r="Q50" s="28"/>
      <c r="R50" s="69"/>
      <c r="S50" s="527"/>
      <c r="T50" s="69"/>
      <c r="U50" s="388"/>
      <c r="V50" s="1"/>
      <c r="AI50" s="66"/>
      <c r="AJ50" s="630"/>
      <c r="AK50" s="66"/>
      <c r="AL50" s="630"/>
      <c r="AP50" s="627">
        <v>4</v>
      </c>
    </row>
    <row r="51" spans="1:47" ht="16.5" thickBot="1" x14ac:dyDescent="0.3">
      <c r="A51" s="1"/>
      <c r="B51" s="13"/>
      <c r="C51" s="566" t="s">
        <v>73</v>
      </c>
      <c r="D51" s="567">
        <v>0.5</v>
      </c>
      <c r="E51" s="568">
        <v>12</v>
      </c>
      <c r="F51" s="15"/>
      <c r="G51" s="29"/>
      <c r="H51" s="1"/>
      <c r="I51" s="32"/>
      <c r="J51" s="28"/>
      <c r="K51" s="28" t="s">
        <v>75</v>
      </c>
      <c r="L51" s="533" t="s">
        <v>76</v>
      </c>
      <c r="M51" s="533"/>
      <c r="N51" s="69"/>
      <c r="O51" s="69"/>
      <c r="P51" s="69"/>
      <c r="Q51" s="28"/>
      <c r="R51" s="69"/>
      <c r="S51" s="527"/>
      <c r="T51" s="69"/>
      <c r="U51" s="388"/>
      <c r="V51" s="41"/>
      <c r="AI51" s="66"/>
      <c r="AJ51" s="630"/>
      <c r="AK51" s="461"/>
      <c r="AP51" s="627">
        <v>5</v>
      </c>
    </row>
    <row r="52" spans="1:47" ht="14.25" customHeight="1" x14ac:dyDescent="0.25">
      <c r="A52" s="1"/>
      <c r="B52" s="13"/>
      <c r="C52" s="35"/>
      <c r="D52" s="36"/>
      <c r="E52" s="36"/>
      <c r="F52" s="36"/>
      <c r="G52" s="16"/>
      <c r="H52" s="30"/>
      <c r="I52" s="32"/>
      <c r="J52" s="28"/>
      <c r="K52" s="28"/>
      <c r="L52" s="530" t="s">
        <v>78</v>
      </c>
      <c r="M52" s="530"/>
      <c r="N52" s="69"/>
      <c r="O52" s="69"/>
      <c r="P52" s="69"/>
      <c r="Q52" s="28"/>
      <c r="R52" s="69"/>
      <c r="S52" s="527"/>
      <c r="T52" s="527"/>
      <c r="U52" s="388"/>
      <c r="V52" s="1"/>
      <c r="AI52" s="66"/>
      <c r="AJ52" s="630"/>
      <c r="AK52" s="461"/>
    </row>
    <row r="53" spans="1:47" ht="18.75" customHeight="1" x14ac:dyDescent="0.25">
      <c r="A53" s="1"/>
      <c r="B53" s="13"/>
      <c r="C53" s="14" t="s">
        <v>74</v>
      </c>
      <c r="D53" s="14"/>
      <c r="E53" s="43"/>
      <c r="F53" s="43"/>
      <c r="G53" s="29"/>
      <c r="H53" s="46"/>
      <c r="I53" s="17"/>
      <c r="J53" s="28"/>
      <c r="K53" s="28"/>
      <c r="L53" s="530"/>
      <c r="M53" s="530" t="s">
        <v>81</v>
      </c>
      <c r="N53" s="69"/>
      <c r="O53" s="69"/>
      <c r="P53" s="69"/>
      <c r="Q53" s="28"/>
      <c r="R53" s="69"/>
      <c r="S53" s="69"/>
      <c r="T53" s="69"/>
      <c r="U53" s="388"/>
      <c r="V53" s="1"/>
      <c r="AI53" s="66"/>
      <c r="AJ53" s="630"/>
      <c r="AK53" s="461"/>
    </row>
    <row r="54" spans="1:47" ht="15.75" customHeight="1" thickBot="1" x14ac:dyDescent="0.3">
      <c r="A54" s="1"/>
      <c r="B54" s="44"/>
      <c r="C54" s="14" t="s">
        <v>77</v>
      </c>
      <c r="D54" s="15"/>
      <c r="E54" s="15"/>
      <c r="F54" s="15"/>
      <c r="G54" s="45"/>
      <c r="H54" s="1"/>
      <c r="I54" s="32"/>
      <c r="J54" s="28"/>
      <c r="K54" s="28"/>
      <c r="L54" s="530"/>
      <c r="M54" s="530"/>
      <c r="N54" s="69"/>
      <c r="O54" s="69"/>
      <c r="P54" s="69"/>
      <c r="Q54" s="28"/>
      <c r="R54" s="69"/>
      <c r="S54" s="69"/>
      <c r="T54" s="69"/>
      <c r="U54" s="388"/>
      <c r="V54" s="41"/>
      <c r="Y54" s="458" t="s">
        <v>93</v>
      </c>
      <c r="Z54" s="458" t="s">
        <v>94</v>
      </c>
      <c r="AA54" s="469"/>
      <c r="AI54" s="66"/>
      <c r="AJ54" s="630"/>
      <c r="AK54" s="458" t="s">
        <v>95</v>
      </c>
    </row>
    <row r="55" spans="1:47" ht="15" customHeight="1" thickBot="1" x14ac:dyDescent="0.3">
      <c r="A55" s="1"/>
      <c r="B55" s="13"/>
      <c r="C55" s="707" t="s">
        <v>79</v>
      </c>
      <c r="D55" s="711" t="s">
        <v>80</v>
      </c>
      <c r="E55" s="712"/>
      <c r="F55" s="713"/>
      <c r="G55" s="16"/>
      <c r="H55" s="19"/>
      <c r="I55" s="20"/>
      <c r="J55" s="28"/>
      <c r="K55" s="28"/>
      <c r="L55" s="530"/>
      <c r="M55" s="528"/>
      <c r="N55" s="715" t="s">
        <v>85</v>
      </c>
      <c r="O55" s="716"/>
      <c r="P55" s="507" t="s">
        <v>86</v>
      </c>
      <c r="Q55" s="507"/>
      <c r="R55" s="28"/>
      <c r="S55" s="69"/>
      <c r="T55" s="69"/>
      <c r="U55" s="388"/>
      <c r="V55" s="1"/>
      <c r="Y55" s="458" t="s">
        <v>95</v>
      </c>
      <c r="Z55" s="458" t="s">
        <v>97</v>
      </c>
      <c r="AI55" s="66"/>
      <c r="AJ55" s="630"/>
      <c r="AK55" s="461"/>
    </row>
    <row r="56" spans="1:47" ht="16.5" thickBot="1" x14ac:dyDescent="0.3">
      <c r="A56" s="1"/>
      <c r="B56" s="13"/>
      <c r="C56" s="708"/>
      <c r="D56" s="569" t="s">
        <v>82</v>
      </c>
      <c r="E56" s="570" t="s">
        <v>83</v>
      </c>
      <c r="F56" s="571" t="s">
        <v>84</v>
      </c>
      <c r="G56" s="18"/>
      <c r="H56" s="48"/>
      <c r="I56" s="49"/>
      <c r="J56" s="28"/>
      <c r="K56" s="28"/>
      <c r="L56" s="530"/>
      <c r="M56" s="28"/>
      <c r="N56" s="393" t="s">
        <v>275</v>
      </c>
      <c r="O56" s="394"/>
      <c r="P56" s="28"/>
      <c r="Q56" s="28" t="s">
        <v>87</v>
      </c>
      <c r="R56" s="28"/>
      <c r="S56" s="40">
        <f>IF(N57=1,65,IF(N57=2,105,IF(N57=3,145,IF(N57=4,185,225))))</f>
        <v>225</v>
      </c>
      <c r="T56" s="69"/>
      <c r="U56" s="388"/>
      <c r="V56" s="1"/>
      <c r="AI56" s="66"/>
      <c r="AJ56" s="630"/>
      <c r="AK56" s="461"/>
    </row>
    <row r="57" spans="1:47" ht="16.5" thickBot="1" x14ac:dyDescent="0.3">
      <c r="A57" s="1"/>
      <c r="B57" s="13"/>
      <c r="C57" s="572">
        <v>1</v>
      </c>
      <c r="D57" s="573">
        <v>94</v>
      </c>
      <c r="E57" s="574">
        <v>65</v>
      </c>
      <c r="F57" s="575">
        <v>57</v>
      </c>
      <c r="G57" s="47"/>
      <c r="H57" s="30"/>
      <c r="I57" s="32"/>
      <c r="J57" s="28"/>
      <c r="K57" s="28"/>
      <c r="L57" s="507"/>
      <c r="M57" s="358" t="s">
        <v>85</v>
      </c>
      <c r="N57" s="717">
        <v>5</v>
      </c>
      <c r="O57" s="718"/>
      <c r="P57" s="69"/>
      <c r="Q57" s="28"/>
      <c r="R57" s="69"/>
      <c r="S57" s="69"/>
      <c r="T57" s="69"/>
      <c r="U57" s="388"/>
      <c r="V57" s="1"/>
      <c r="Y57" s="462" t="s">
        <v>50</v>
      </c>
      <c r="AI57" s="66"/>
      <c r="AJ57" s="630"/>
      <c r="AK57" s="461"/>
    </row>
    <row r="58" spans="1:47" ht="17.25" customHeight="1" x14ac:dyDescent="0.3">
      <c r="A58" s="1"/>
      <c r="B58" s="13"/>
      <c r="C58" s="576">
        <v>2</v>
      </c>
      <c r="D58" s="548">
        <v>134</v>
      </c>
      <c r="E58" s="552">
        <v>105</v>
      </c>
      <c r="F58" s="550">
        <v>97</v>
      </c>
      <c r="G58" s="29"/>
      <c r="H58" s="30"/>
      <c r="I58" s="32"/>
      <c r="J58" s="28"/>
      <c r="K58" s="28"/>
      <c r="L58" s="507"/>
      <c r="M58" s="69"/>
      <c r="N58" s="537"/>
      <c r="O58" s="537"/>
      <c r="P58" s="69"/>
      <c r="Q58" s="28"/>
      <c r="R58" s="69"/>
      <c r="S58" s="69"/>
      <c r="T58" s="69"/>
      <c r="U58" s="388"/>
      <c r="V58" s="1"/>
      <c r="Y58" s="462" t="s">
        <v>52</v>
      </c>
      <c r="AB58" s="702"/>
      <c r="AC58" s="702"/>
      <c r="AD58" s="702"/>
      <c r="AI58" s="627"/>
      <c r="AJ58" s="475"/>
      <c r="AK58" s="475"/>
      <c r="AL58" s="475"/>
      <c r="AM58" s="699" t="s">
        <v>88</v>
      </c>
      <c r="AN58" s="699"/>
      <c r="AO58" s="699"/>
      <c r="AP58" s="465" t="s">
        <v>13</v>
      </c>
      <c r="AQ58" s="465" t="s">
        <v>20</v>
      </c>
      <c r="AR58" s="465" t="s">
        <v>89</v>
      </c>
      <c r="AS58" s="465" t="s">
        <v>43</v>
      </c>
      <c r="AT58" s="465" t="s">
        <v>90</v>
      </c>
      <c r="AU58" s="467"/>
    </row>
    <row r="59" spans="1:47" ht="19.5" customHeight="1" x14ac:dyDescent="0.25">
      <c r="A59" s="1"/>
      <c r="B59" s="13"/>
      <c r="C59" s="576">
        <v>3</v>
      </c>
      <c r="D59" s="548">
        <v>174</v>
      </c>
      <c r="E59" s="552">
        <v>145</v>
      </c>
      <c r="F59" s="550">
        <v>137</v>
      </c>
      <c r="G59" s="29"/>
      <c r="H59" s="30"/>
      <c r="I59" s="32"/>
      <c r="J59" s="28"/>
      <c r="K59" s="28"/>
      <c r="L59" s="507"/>
      <c r="M59" s="69"/>
      <c r="N59" s="537"/>
      <c r="O59" s="537"/>
      <c r="P59" s="69"/>
      <c r="Q59" s="28"/>
      <c r="R59" s="69"/>
      <c r="S59" s="69"/>
      <c r="T59" s="69"/>
      <c r="U59" s="388"/>
      <c r="V59" s="1"/>
      <c r="Y59" s="462"/>
      <c r="Z59" s="67"/>
      <c r="AI59" s="627"/>
      <c r="AM59" s="700" t="s">
        <v>92</v>
      </c>
      <c r="AN59" s="700"/>
      <c r="AO59" s="700"/>
      <c r="AP59" s="461">
        <f>S26</f>
        <v>70</v>
      </c>
      <c r="AQ59" s="461">
        <f>S31</f>
        <v>20</v>
      </c>
      <c r="AR59" s="461">
        <f>S41</f>
        <v>0.3</v>
      </c>
      <c r="AS59" s="461">
        <f>S46</f>
        <v>1</v>
      </c>
      <c r="AT59" s="465">
        <f>S56</f>
        <v>225</v>
      </c>
    </row>
    <row r="60" spans="1:47" ht="15.75" x14ac:dyDescent="0.25">
      <c r="A60" s="1"/>
      <c r="B60" s="13"/>
      <c r="C60" s="576">
        <v>4</v>
      </c>
      <c r="D60" s="548">
        <v>214</v>
      </c>
      <c r="E60" s="552">
        <v>185</v>
      </c>
      <c r="F60" s="550">
        <v>177</v>
      </c>
      <c r="G60" s="29"/>
      <c r="H60" s="30"/>
      <c r="I60" s="32"/>
      <c r="J60" s="28"/>
      <c r="K60" s="28"/>
      <c r="L60" s="507"/>
      <c r="M60" s="69"/>
      <c r="N60" s="537"/>
      <c r="O60" s="537"/>
      <c r="P60" s="69"/>
      <c r="Q60" s="28"/>
      <c r="R60" s="69"/>
      <c r="S60" s="69"/>
      <c r="T60" s="69"/>
      <c r="U60" s="388"/>
      <c r="V60" s="1"/>
      <c r="Y60" s="66"/>
      <c r="Z60" s="462"/>
      <c r="AA60" s="462"/>
      <c r="AB60" s="67"/>
      <c r="AI60" s="627"/>
      <c r="AM60" s="627"/>
      <c r="AN60" s="627"/>
      <c r="AO60" s="627" t="s">
        <v>96</v>
      </c>
      <c r="AP60" s="461">
        <f>S29</f>
        <v>130</v>
      </c>
      <c r="AQ60" s="461">
        <f>S33</f>
        <v>0</v>
      </c>
      <c r="AR60" s="461">
        <f>S43</f>
        <v>1</v>
      </c>
      <c r="AS60" s="461">
        <f>S46</f>
        <v>1</v>
      </c>
      <c r="AT60" s="465">
        <f>S56</f>
        <v>225</v>
      </c>
    </row>
    <row r="61" spans="1:47" ht="16.5" thickBot="1" x14ac:dyDescent="0.3">
      <c r="A61" s="1"/>
      <c r="B61" s="13"/>
      <c r="C61" s="577">
        <v>5</v>
      </c>
      <c r="D61" s="578">
        <v>254</v>
      </c>
      <c r="E61" s="556">
        <v>225</v>
      </c>
      <c r="F61" s="557">
        <v>217</v>
      </c>
      <c r="G61" s="29"/>
      <c r="H61" s="30"/>
      <c r="I61" s="32"/>
      <c r="J61" s="28"/>
      <c r="K61" s="28"/>
      <c r="L61" s="507"/>
      <c r="M61" s="69"/>
      <c r="N61" s="537"/>
      <c r="O61" s="537"/>
      <c r="P61" s="69"/>
      <c r="Q61" s="28"/>
      <c r="R61" s="69"/>
      <c r="S61" s="69"/>
      <c r="T61" s="69"/>
      <c r="U61" s="388"/>
      <c r="V61" s="1"/>
      <c r="Y61" s="470"/>
      <c r="Z61" s="66"/>
      <c r="AA61" s="462"/>
      <c r="AB61" s="462"/>
      <c r="AI61" s="627"/>
      <c r="AM61" s="701" t="s">
        <v>98</v>
      </c>
      <c r="AN61" s="701"/>
      <c r="AO61" s="701"/>
      <c r="AP61" s="477">
        <v>70</v>
      </c>
      <c r="AQ61" s="477">
        <v>15</v>
      </c>
      <c r="AR61" s="477">
        <v>0.3</v>
      </c>
      <c r="AS61" s="477">
        <v>0.92</v>
      </c>
      <c r="AT61" s="478">
        <v>65</v>
      </c>
    </row>
    <row r="62" spans="1:47" ht="16.5" thickBot="1" x14ac:dyDescent="0.3">
      <c r="A62" s="1"/>
      <c r="B62" s="50"/>
      <c r="C62" s="51"/>
      <c r="D62" s="52"/>
      <c r="E62" s="53"/>
      <c r="F62" s="53"/>
      <c r="G62" s="54"/>
      <c r="H62" s="30"/>
      <c r="I62" s="55"/>
      <c r="J62" s="417"/>
      <c r="K62" s="417"/>
      <c r="L62" s="423"/>
      <c r="M62" s="416"/>
      <c r="N62" s="538"/>
      <c r="O62" s="538"/>
      <c r="P62" s="416"/>
      <c r="Q62" s="417"/>
      <c r="R62" s="416"/>
      <c r="S62" s="416"/>
      <c r="T62" s="416"/>
      <c r="U62" s="418"/>
      <c r="V62" s="1"/>
      <c r="Y62" s="471" t="str">
        <f>N71</f>
        <v>Prismático</v>
      </c>
      <c r="Z62" s="66"/>
      <c r="AA62" s="66"/>
      <c r="AB62" s="66"/>
      <c r="AC62" s="631"/>
      <c r="AI62" s="627"/>
      <c r="AM62" s="627"/>
      <c r="AN62" s="627"/>
      <c r="AO62" s="627" t="s">
        <v>96</v>
      </c>
      <c r="AP62" s="477">
        <v>50</v>
      </c>
      <c r="AQ62" s="477">
        <v>12</v>
      </c>
      <c r="AR62" s="477">
        <v>0.2</v>
      </c>
      <c r="AS62" s="477">
        <v>0.92</v>
      </c>
      <c r="AT62" s="478">
        <v>65</v>
      </c>
    </row>
    <row r="63" spans="1:47" ht="15.75" x14ac:dyDescent="0.25">
      <c r="A63" s="1"/>
      <c r="B63" s="1"/>
      <c r="C63" s="398"/>
      <c r="D63" s="5"/>
      <c r="E63" s="30"/>
      <c r="F63" s="30"/>
      <c r="G63" s="30"/>
      <c r="H63" s="30"/>
      <c r="I63" s="30"/>
      <c r="J63" s="2"/>
      <c r="K63" s="2"/>
      <c r="L63" s="1"/>
      <c r="M63" s="1"/>
      <c r="N63" s="1"/>
      <c r="O63" s="1"/>
      <c r="P63" s="1"/>
      <c r="Q63" s="2"/>
      <c r="R63" s="1"/>
      <c r="S63" s="1"/>
      <c r="T63" s="1"/>
      <c r="U63" s="1"/>
      <c r="V63" s="1"/>
      <c r="Y63" s="462" t="s">
        <v>50</v>
      </c>
      <c r="Z63" s="472">
        <f>S69</f>
        <v>3750</v>
      </c>
      <c r="AA63" s="67"/>
      <c r="AB63" s="67"/>
      <c r="AC63" s="67"/>
      <c r="AI63" s="627"/>
    </row>
    <row r="64" spans="1:47" ht="16.5" customHeight="1" x14ac:dyDescent="0.3">
      <c r="A64" s="1"/>
      <c r="B64" s="1"/>
      <c r="C64" s="4" t="s">
        <v>91</v>
      </c>
      <c r="D64" s="5"/>
      <c r="E64" s="30"/>
      <c r="F64" s="30"/>
      <c r="G64" s="30"/>
      <c r="H64" s="30"/>
      <c r="I64" s="30"/>
      <c r="J64" s="2"/>
      <c r="K64" s="2"/>
      <c r="L64" s="1"/>
      <c r="M64" s="1"/>
      <c r="N64" s="1"/>
      <c r="O64" s="1"/>
      <c r="P64" s="1"/>
      <c r="Q64" s="2"/>
      <c r="R64" s="1"/>
      <c r="S64" s="1"/>
      <c r="T64" s="1"/>
      <c r="U64" s="1"/>
      <c r="V64" s="1"/>
      <c r="Y64" s="462" t="s">
        <v>52</v>
      </c>
      <c r="Z64" s="473">
        <f>S70</f>
        <v>0</v>
      </c>
      <c r="AA64" s="462"/>
      <c r="AB64" s="66"/>
      <c r="AD64" s="631"/>
      <c r="AI64" s="627"/>
      <c r="AJ64" s="475"/>
    </row>
    <row r="65" spans="1:34" ht="15.75" customHeight="1" thickBot="1" x14ac:dyDescent="0.35">
      <c r="A65" s="1"/>
      <c r="B65" s="1"/>
      <c r="C65" s="4"/>
      <c r="D65" s="5"/>
      <c r="E65" s="30"/>
      <c r="F65" s="30"/>
      <c r="G65" s="30"/>
      <c r="H65" s="399"/>
      <c r="I65" s="30"/>
      <c r="J65" s="2"/>
      <c r="K65" s="2"/>
      <c r="L65" s="1"/>
      <c r="M65" s="1"/>
      <c r="N65" s="1"/>
      <c r="O65" s="1"/>
      <c r="P65" s="1"/>
      <c r="Q65" s="2"/>
      <c r="R65" s="1"/>
      <c r="S65" s="1"/>
      <c r="T65" s="1"/>
      <c r="U65" s="1"/>
      <c r="V65" s="1"/>
      <c r="W65" s="632"/>
      <c r="Y65" s="479" t="s">
        <v>111</v>
      </c>
      <c r="Z65" s="479" t="s">
        <v>112</v>
      </c>
      <c r="AA65" s="479"/>
      <c r="AB65" s="480" t="s">
        <v>52</v>
      </c>
      <c r="AC65" s="480"/>
      <c r="AD65" s="480"/>
      <c r="AE65" s="480"/>
      <c r="AF65" s="480"/>
    </row>
    <row r="66" spans="1:34" ht="15.75" x14ac:dyDescent="0.25">
      <c r="A66" s="1"/>
      <c r="B66" s="7"/>
      <c r="C66" s="56"/>
      <c r="D66" s="56"/>
      <c r="E66" s="56"/>
      <c r="F66" s="56"/>
      <c r="G66" s="57"/>
      <c r="H66" s="2"/>
      <c r="I66" s="58"/>
      <c r="J66" s="519"/>
      <c r="K66" s="519"/>
      <c r="L66" s="520"/>
      <c r="M66" s="520"/>
      <c r="N66" s="520"/>
      <c r="O66" s="520"/>
      <c r="P66" s="520"/>
      <c r="Q66" s="519"/>
      <c r="R66" s="520"/>
      <c r="S66" s="520"/>
      <c r="T66" s="520"/>
      <c r="U66" s="521"/>
      <c r="V66" s="1"/>
      <c r="W66" s="632"/>
      <c r="Y66" s="479"/>
      <c r="Z66" s="481" t="s">
        <v>114</v>
      </c>
      <c r="AA66" s="481" t="s">
        <v>115</v>
      </c>
      <c r="AB66" s="482"/>
      <c r="AC66" s="482"/>
      <c r="AD66" s="482"/>
      <c r="AE66" s="482"/>
      <c r="AF66" s="482"/>
    </row>
    <row r="67" spans="1:34" ht="15" customHeight="1" x14ac:dyDescent="0.3">
      <c r="A67" s="1"/>
      <c r="B67" s="13"/>
      <c r="C67" s="59" t="s">
        <v>99</v>
      </c>
      <c r="D67" s="59" t="s">
        <v>100</v>
      </c>
      <c r="E67" s="60"/>
      <c r="F67" s="60"/>
      <c r="G67" s="61"/>
      <c r="H67" s="1"/>
      <c r="I67" s="32"/>
      <c r="J67" s="42"/>
      <c r="K67" s="522" t="s">
        <v>99</v>
      </c>
      <c r="L67" s="589"/>
      <c r="M67" s="69"/>
      <c r="N67" s="69"/>
      <c r="O67" s="69"/>
      <c r="P67" s="69"/>
      <c r="Q67" s="28"/>
      <c r="R67" s="69"/>
      <c r="S67" s="69"/>
      <c r="T67" s="69"/>
      <c r="U67" s="388"/>
      <c r="V67" s="1"/>
      <c r="Y67" s="483" t="s">
        <v>121</v>
      </c>
      <c r="Z67" s="484">
        <v>1.1000000000000001</v>
      </c>
      <c r="AA67" s="485" t="s">
        <v>122</v>
      </c>
      <c r="AB67" s="486" t="str">
        <f>IF($N$71="cilíndrico",Q75,"-----")</f>
        <v>-----</v>
      </c>
      <c r="AC67" s="482"/>
      <c r="AD67" s="482"/>
      <c r="AE67" s="482"/>
      <c r="AF67" s="482"/>
    </row>
    <row r="68" spans="1:34" ht="16.5" thickBot="1" x14ac:dyDescent="0.3">
      <c r="A68" s="1"/>
      <c r="B68" s="13"/>
      <c r="C68" s="36"/>
      <c r="D68" s="15"/>
      <c r="E68" s="15"/>
      <c r="F68" s="15"/>
      <c r="G68" s="16"/>
      <c r="H68" s="64"/>
      <c r="I68" s="62"/>
      <c r="J68" s="42"/>
      <c r="K68" s="590"/>
      <c r="L68" s="590"/>
      <c r="M68" s="69"/>
      <c r="N68" s="530"/>
      <c r="O68" s="530"/>
      <c r="P68" s="69"/>
      <c r="Q68" s="28"/>
      <c r="R68" s="69"/>
      <c r="S68" s="69"/>
      <c r="T68" s="69"/>
      <c r="U68" s="388"/>
      <c r="V68" s="1"/>
      <c r="Y68" s="483" t="s">
        <v>123</v>
      </c>
      <c r="Z68" s="484">
        <v>0.8</v>
      </c>
      <c r="AA68" s="485" t="s">
        <v>122</v>
      </c>
      <c r="AB68" s="486">
        <f>IF($N$71="prismático",Q78,"-----")</f>
        <v>3</v>
      </c>
      <c r="AC68" s="482"/>
      <c r="AD68" s="482"/>
      <c r="AE68" s="482"/>
      <c r="AF68" s="482"/>
    </row>
    <row r="69" spans="1:34" ht="15.75" customHeight="1" thickBot="1" x14ac:dyDescent="0.3">
      <c r="A69" s="1"/>
      <c r="B69" s="13"/>
      <c r="C69" s="14" t="s">
        <v>101</v>
      </c>
      <c r="D69" s="38"/>
      <c r="E69" s="38"/>
      <c r="F69" s="38"/>
      <c r="G69" s="63"/>
      <c r="H69" s="64"/>
      <c r="I69" s="65"/>
      <c r="J69" s="42" t="s">
        <v>11</v>
      </c>
      <c r="K69" s="590" t="s">
        <v>102</v>
      </c>
      <c r="L69" s="590"/>
      <c r="M69" s="69"/>
      <c r="N69" s="507" t="s">
        <v>103</v>
      </c>
      <c r="O69" s="530"/>
      <c r="P69" s="28"/>
      <c r="Q69" s="28" t="s">
        <v>104</v>
      </c>
      <c r="R69" s="28"/>
      <c r="S69" s="118">
        <f>1000+((AQ60*((AP60*AS60)+(AR60*AT60)))+(AQ59*((AP59*AS59)+(AR59*AT59))))</f>
        <v>3750</v>
      </c>
      <c r="T69" s="389"/>
      <c r="U69" s="388"/>
      <c r="V69" s="1"/>
      <c r="Y69" s="483" t="s">
        <v>125</v>
      </c>
      <c r="Z69" s="484">
        <f>IF(Z64&lt;6000,1.2,IF(AND(Z64&gt;=6000,Z64&lt;10000),1.5,IF(Z64&gt;10000,1.8,erro)))</f>
        <v>1.2</v>
      </c>
      <c r="AA69" s="484">
        <f>IF(Z64&lt;6000,2.2,IF(AND(Z64&gt;=6000,Z64&lt;10000),2.5,IF(Z64&gt;10000,2.8,erro)))</f>
        <v>2.2000000000000002</v>
      </c>
      <c r="AB69" s="486">
        <f>IF($N$71="cilíndrico",P75,P78)</f>
        <v>4</v>
      </c>
      <c r="AC69" s="482"/>
      <c r="AD69" s="482"/>
      <c r="AE69" s="482"/>
      <c r="AF69" s="482"/>
    </row>
    <row r="70" spans="1:34" ht="15.75" customHeight="1" thickBot="1" x14ac:dyDescent="0.3">
      <c r="A70" s="1"/>
      <c r="B70" s="13"/>
      <c r="C70" s="707" t="s">
        <v>105</v>
      </c>
      <c r="D70" s="579" t="s">
        <v>106</v>
      </c>
      <c r="E70" s="580" t="s">
        <v>106</v>
      </c>
      <c r="F70" s="38"/>
      <c r="G70" s="63"/>
      <c r="H70" s="64"/>
      <c r="I70" s="17"/>
      <c r="J70" s="42"/>
      <c r="K70" s="507"/>
      <c r="L70" s="530"/>
      <c r="M70" s="69"/>
      <c r="N70" s="69"/>
      <c r="O70" s="69"/>
      <c r="P70" s="69"/>
      <c r="Q70" s="28"/>
      <c r="R70" s="42"/>
      <c r="S70" s="353"/>
      <c r="T70" s="69"/>
      <c r="U70" s="388"/>
      <c r="V70" s="1"/>
      <c r="Y70" s="483" t="s">
        <v>132</v>
      </c>
      <c r="Z70" s="487" t="s">
        <v>133</v>
      </c>
      <c r="AA70" s="488" t="s">
        <v>122</v>
      </c>
      <c r="AB70" s="486">
        <f>IF($N$71="prismático",R78,"-----")</f>
        <v>0.9</v>
      </c>
      <c r="AC70" s="482"/>
      <c r="AD70" s="482"/>
      <c r="AE70" s="482"/>
      <c r="AF70" s="482"/>
    </row>
    <row r="71" spans="1:34" ht="16.5" customHeight="1" thickBot="1" x14ac:dyDescent="0.3">
      <c r="A71" s="1"/>
      <c r="B71" s="13"/>
      <c r="C71" s="708"/>
      <c r="D71" s="581" t="s">
        <v>107</v>
      </c>
      <c r="E71" s="582" t="s">
        <v>108</v>
      </c>
      <c r="F71" s="38"/>
      <c r="G71" s="63"/>
      <c r="H71" s="64"/>
      <c r="I71" s="68"/>
      <c r="J71" s="42" t="s">
        <v>33</v>
      </c>
      <c r="K71" s="28" t="s">
        <v>109</v>
      </c>
      <c r="L71" s="28"/>
      <c r="M71" s="358" t="s">
        <v>85</v>
      </c>
      <c r="N71" s="709" t="s">
        <v>95</v>
      </c>
      <c r="O71" s="710"/>
      <c r="P71" s="69"/>
      <c r="Q71" s="28"/>
      <c r="R71" s="69"/>
      <c r="S71" s="70"/>
      <c r="T71" s="69"/>
      <c r="U71" s="388"/>
      <c r="V71" s="1"/>
      <c r="Y71" s="483" t="s">
        <v>135</v>
      </c>
      <c r="Z71" s="489" t="s">
        <v>136</v>
      </c>
      <c r="AA71" s="481" t="s">
        <v>137</v>
      </c>
      <c r="AB71" s="486">
        <f>IF($N$71="prismático",(AB70/AB68),"-----")</f>
        <v>0.3</v>
      </c>
      <c r="AC71" s="482"/>
      <c r="AD71" s="482"/>
      <c r="AE71" s="482"/>
      <c r="AF71" s="482"/>
    </row>
    <row r="72" spans="1:34" ht="18" customHeight="1" x14ac:dyDescent="0.25">
      <c r="A72" s="1"/>
      <c r="B72" s="13"/>
      <c r="C72" s="583" t="s">
        <v>110</v>
      </c>
      <c r="D72" s="573">
        <v>1.2</v>
      </c>
      <c r="E72" s="584">
        <v>2.2000000000000002</v>
      </c>
      <c r="F72" s="38"/>
      <c r="G72" s="63"/>
      <c r="H72" s="1"/>
      <c r="I72" s="68"/>
      <c r="J72" s="42"/>
      <c r="K72" s="42"/>
      <c r="L72" s="42"/>
      <c r="M72" s="42"/>
      <c r="N72" s="527"/>
      <c r="O72" s="527"/>
      <c r="P72" s="69"/>
      <c r="Q72" s="28"/>
      <c r="R72" s="69"/>
      <c r="S72" s="71"/>
      <c r="T72" s="69"/>
      <c r="U72" s="388"/>
      <c r="V72" s="1"/>
      <c r="Y72" s="483" t="s">
        <v>139</v>
      </c>
      <c r="Z72" s="483"/>
      <c r="AA72" s="483"/>
      <c r="AB72" s="490">
        <f>IF(N71="cilíndrico",((3.1416*(Q75*Q75)/4)*P75),(P78*Q78*R78))</f>
        <v>10.8</v>
      </c>
      <c r="AC72" s="490"/>
      <c r="AD72" s="490"/>
      <c r="AE72" s="490"/>
      <c r="AF72" s="490"/>
    </row>
    <row r="73" spans="1:34" ht="16.5" thickBot="1" x14ac:dyDescent="0.3">
      <c r="A73" s="1"/>
      <c r="B73" s="13"/>
      <c r="C73" s="585" t="s">
        <v>113</v>
      </c>
      <c r="D73" s="548">
        <v>1.5</v>
      </c>
      <c r="E73" s="586">
        <v>2.5</v>
      </c>
      <c r="F73" s="15"/>
      <c r="G73" s="16"/>
      <c r="H73" s="1"/>
      <c r="I73" s="68"/>
      <c r="J73" s="42"/>
      <c r="K73" s="69"/>
      <c r="L73" s="69"/>
      <c r="M73" s="69"/>
      <c r="N73" s="69"/>
      <c r="O73" s="69"/>
      <c r="P73" s="69"/>
      <c r="Q73" s="28"/>
      <c r="R73" s="69"/>
      <c r="S73" s="69"/>
      <c r="T73" s="69"/>
      <c r="U73" s="388"/>
      <c r="V73" s="1"/>
      <c r="X73" s="635"/>
    </row>
    <row r="74" spans="1:34" ht="16.5" thickBot="1" x14ac:dyDescent="0.3">
      <c r="A74" s="1"/>
      <c r="B74" s="13"/>
      <c r="C74" s="587" t="s">
        <v>116</v>
      </c>
      <c r="D74" s="578">
        <v>1.8</v>
      </c>
      <c r="E74" s="588">
        <v>2.8</v>
      </c>
      <c r="F74" s="15"/>
      <c r="G74" s="16"/>
      <c r="H74" s="1"/>
      <c r="I74" s="68"/>
      <c r="J74" s="42" t="s">
        <v>45</v>
      </c>
      <c r="K74" s="28" t="s">
        <v>117</v>
      </c>
      <c r="L74" s="69"/>
      <c r="M74" s="69"/>
      <c r="N74" s="69"/>
      <c r="O74" s="591"/>
      <c r="P74" s="400" t="s">
        <v>118</v>
      </c>
      <c r="Q74" s="72" t="s">
        <v>119</v>
      </c>
      <c r="R74" s="653" t="s">
        <v>120</v>
      </c>
      <c r="S74" s="654"/>
      <c r="T74" s="591"/>
      <c r="U74" s="388"/>
      <c r="V74" s="1"/>
    </row>
    <row r="75" spans="1:34" ht="16.5" thickBot="1" x14ac:dyDescent="0.3">
      <c r="A75" s="1"/>
      <c r="B75" s="13"/>
      <c r="C75" s="15"/>
      <c r="D75" s="15"/>
      <c r="E75" s="15"/>
      <c r="F75" s="15"/>
      <c r="G75" s="16"/>
      <c r="H75" s="1"/>
      <c r="I75" s="68"/>
      <c r="J75" s="42"/>
      <c r="K75" s="28"/>
      <c r="L75" s="69"/>
      <c r="M75" s="69"/>
      <c r="N75" s="69"/>
      <c r="O75" s="591"/>
      <c r="P75" s="73">
        <v>3</v>
      </c>
      <c r="Q75" s="73">
        <v>3</v>
      </c>
      <c r="R75" s="655">
        <f>((3.1416*Q75*Q75)/4)*P75*1000</f>
        <v>21205.8</v>
      </c>
      <c r="S75" s="656"/>
      <c r="T75" s="591"/>
      <c r="U75" s="388"/>
      <c r="V75" s="1"/>
    </row>
    <row r="76" spans="1:34" ht="16.5" customHeight="1" thickBot="1" x14ac:dyDescent="0.3">
      <c r="A76" s="1"/>
      <c r="B76" s="13"/>
      <c r="C76" s="74" t="s">
        <v>124</v>
      </c>
      <c r="D76" s="75"/>
      <c r="E76" s="15"/>
      <c r="F76" s="15"/>
      <c r="G76" s="16"/>
      <c r="H76" s="1"/>
      <c r="I76" s="17"/>
      <c r="J76" s="42"/>
      <c r="K76" s="507"/>
      <c r="L76" s="69"/>
      <c r="M76" s="389"/>
      <c r="N76" s="69"/>
      <c r="O76" s="391" t="s">
        <v>267</v>
      </c>
      <c r="P76" s="602"/>
      <c r="Q76" s="595"/>
      <c r="R76" s="603"/>
      <c r="S76" s="419"/>
      <c r="T76" s="591"/>
      <c r="U76" s="388"/>
      <c r="V76" s="1"/>
      <c r="AA76" s="462" t="s">
        <v>94</v>
      </c>
    </row>
    <row r="77" spans="1:34" ht="15.75" thickBot="1" x14ac:dyDescent="0.3">
      <c r="A77" s="1"/>
      <c r="B77" s="13"/>
      <c r="C77" s="74" t="s">
        <v>126</v>
      </c>
      <c r="D77" s="15"/>
      <c r="E77" s="15"/>
      <c r="F77" s="15"/>
      <c r="G77" s="16"/>
      <c r="H77" s="1"/>
      <c r="I77" s="17"/>
      <c r="J77" s="42" t="s">
        <v>127</v>
      </c>
      <c r="K77" s="28" t="s">
        <v>128</v>
      </c>
      <c r="L77" s="69"/>
      <c r="M77" s="69"/>
      <c r="N77" s="69"/>
      <c r="O77" s="69"/>
      <c r="P77" s="400" t="s">
        <v>118</v>
      </c>
      <c r="Q77" s="72" t="s">
        <v>129</v>
      </c>
      <c r="R77" s="401" t="s">
        <v>130</v>
      </c>
      <c r="S77" s="401" t="s">
        <v>131</v>
      </c>
      <c r="T77" s="69"/>
      <c r="U77" s="388"/>
      <c r="V77" s="1"/>
      <c r="Y77" s="629"/>
      <c r="Z77" s="629"/>
      <c r="AA77" s="629" t="s">
        <v>97</v>
      </c>
      <c r="AB77" s="467"/>
      <c r="AC77" s="467"/>
    </row>
    <row r="78" spans="1:34" ht="18" customHeight="1" thickBot="1" x14ac:dyDescent="0.3">
      <c r="A78" s="1"/>
      <c r="B78" s="13"/>
      <c r="C78" s="74" t="s">
        <v>134</v>
      </c>
      <c r="D78" s="15"/>
      <c r="E78" s="15"/>
      <c r="F78" s="15"/>
      <c r="G78" s="16"/>
      <c r="H78" s="1"/>
      <c r="I78" s="17"/>
      <c r="J78" s="42"/>
      <c r="K78" s="28"/>
      <c r="L78" s="69"/>
      <c r="M78" s="69"/>
      <c r="N78" s="391" t="s">
        <v>267</v>
      </c>
      <c r="O78" s="69"/>
      <c r="P78" s="73">
        <v>4</v>
      </c>
      <c r="Q78" s="144">
        <v>3</v>
      </c>
      <c r="R78" s="78">
        <v>0.9</v>
      </c>
      <c r="S78" s="79">
        <f>P78*Q78*R78*1000</f>
        <v>10800</v>
      </c>
      <c r="T78" s="69"/>
      <c r="U78" s="388"/>
      <c r="V78" s="1"/>
      <c r="AB78" s="629"/>
      <c r="AC78" s="629"/>
    </row>
    <row r="79" spans="1:34" ht="15.75" thickBot="1" x14ac:dyDescent="0.3">
      <c r="A79" s="1"/>
      <c r="B79" s="13"/>
      <c r="C79" s="60" t="s">
        <v>138</v>
      </c>
      <c r="D79" s="15"/>
      <c r="E79" s="15"/>
      <c r="F79" s="15"/>
      <c r="G79" s="16"/>
      <c r="H79" s="1"/>
      <c r="I79" s="17"/>
      <c r="J79" s="42"/>
      <c r="K79" s="28"/>
      <c r="L79" s="69"/>
      <c r="M79" s="69"/>
      <c r="N79" s="69"/>
      <c r="O79" s="69"/>
      <c r="P79" s="419"/>
      <c r="Q79" s="595"/>
      <c r="R79" s="419"/>
      <c r="S79" s="592">
        <f>IF(N71="prismático",S78,R75)</f>
        <v>10800</v>
      </c>
      <c r="T79" s="69"/>
      <c r="U79" s="388"/>
      <c r="V79" s="1"/>
      <c r="AB79" s="629"/>
      <c r="AC79" s="629"/>
    </row>
    <row r="80" spans="1:34" ht="15.75" thickBot="1" x14ac:dyDescent="0.3">
      <c r="A80" s="1"/>
      <c r="B80" s="13"/>
      <c r="C80" s="74"/>
      <c r="D80" s="15"/>
      <c r="E80" s="15"/>
      <c r="F80" s="15"/>
      <c r="G80" s="16"/>
      <c r="H80" s="1"/>
      <c r="I80" s="17"/>
      <c r="J80" s="42"/>
      <c r="K80" s="28"/>
      <c r="L80" s="28"/>
      <c r="M80" s="82" t="s">
        <v>111</v>
      </c>
      <c r="N80" s="83"/>
      <c r="O80" s="657" t="s">
        <v>112</v>
      </c>
      <c r="P80" s="658"/>
      <c r="Q80" s="659" t="s">
        <v>52</v>
      </c>
      <c r="R80" s="661" t="s">
        <v>140</v>
      </c>
      <c r="S80" s="28"/>
      <c r="T80" s="28"/>
      <c r="U80" s="388"/>
      <c r="V80" s="1"/>
      <c r="Y80" s="458" t="str">
        <f>N103</f>
        <v>Prismático</v>
      </c>
      <c r="AD80" s="467"/>
      <c r="AE80" s="467"/>
      <c r="AF80" s="467"/>
      <c r="AG80" s="467"/>
      <c r="AH80" s="467"/>
    </row>
    <row r="81" spans="1:40" ht="16.5" thickBot="1" x14ac:dyDescent="0.3">
      <c r="A81" s="1"/>
      <c r="B81" s="13"/>
      <c r="C81" s="84" t="s">
        <v>141</v>
      </c>
      <c r="D81" s="15"/>
      <c r="E81" s="15"/>
      <c r="F81" s="15"/>
      <c r="G81" s="16"/>
      <c r="H81" s="1"/>
      <c r="I81" s="17"/>
      <c r="J81" s="42"/>
      <c r="K81" s="28"/>
      <c r="L81" s="28"/>
      <c r="M81" s="85"/>
      <c r="N81" s="86"/>
      <c r="O81" s="87" t="s">
        <v>114</v>
      </c>
      <c r="P81" s="88" t="s">
        <v>115</v>
      </c>
      <c r="Q81" s="660"/>
      <c r="R81" s="662"/>
      <c r="S81" s="28"/>
      <c r="T81" s="28"/>
      <c r="U81" s="388"/>
      <c r="V81" s="1"/>
      <c r="Y81" s="462" t="s">
        <v>50</v>
      </c>
      <c r="Z81" s="472">
        <f>S100</f>
        <v>2240</v>
      </c>
      <c r="AA81" s="67"/>
      <c r="AB81" s="67"/>
      <c r="AC81" s="67"/>
      <c r="AI81" s="627"/>
    </row>
    <row r="82" spans="1:40" ht="15.75" customHeight="1" thickBot="1" x14ac:dyDescent="0.35">
      <c r="A82" s="1"/>
      <c r="B82" s="13"/>
      <c r="C82" s="60" t="s">
        <v>142</v>
      </c>
      <c r="D82" s="15"/>
      <c r="E82" s="15"/>
      <c r="F82" s="15"/>
      <c r="G82" s="16"/>
      <c r="H82" s="95"/>
      <c r="I82" s="17"/>
      <c r="J82" s="42"/>
      <c r="K82" s="28"/>
      <c r="L82" s="28"/>
      <c r="M82" s="89" t="s">
        <v>143</v>
      </c>
      <c r="N82" s="90"/>
      <c r="O82" s="91" t="str">
        <f>IF(N71="cilíndrico",1.1,"----")</f>
        <v>----</v>
      </c>
      <c r="P82" s="92" t="s">
        <v>144</v>
      </c>
      <c r="Q82" s="93" t="str">
        <f>IF($N$71="cilíndrico",Q75,"-----")</f>
        <v>-----</v>
      </c>
      <c r="R82" s="94" t="str">
        <f>IF($N$71="cilíndrico",IF(Q82&gt;=O82,"Atende","Não Atende"),"----")</f>
        <v>----</v>
      </c>
      <c r="S82" s="28"/>
      <c r="T82" s="28"/>
      <c r="U82" s="388"/>
      <c r="V82" s="1"/>
      <c r="Y82" s="462" t="s">
        <v>52</v>
      </c>
      <c r="Z82" s="473">
        <f>S101</f>
        <v>0</v>
      </c>
      <c r="AA82" s="462"/>
      <c r="AB82" s="66"/>
      <c r="AD82" s="631"/>
      <c r="AI82" s="627"/>
      <c r="AJ82" s="475"/>
    </row>
    <row r="83" spans="1:40" ht="15.75" customHeight="1" thickBot="1" x14ac:dyDescent="0.3">
      <c r="A83" s="1"/>
      <c r="B83" s="13"/>
      <c r="C83" s="60" t="s">
        <v>145</v>
      </c>
      <c r="D83" s="15"/>
      <c r="E83" s="15"/>
      <c r="F83" s="15"/>
      <c r="G83" s="16"/>
      <c r="H83" s="1"/>
      <c r="I83" s="96"/>
      <c r="J83" s="593"/>
      <c r="K83" s="28"/>
      <c r="L83" s="28"/>
      <c r="M83" s="97" t="s">
        <v>146</v>
      </c>
      <c r="N83" s="98"/>
      <c r="O83" s="91">
        <f>IF(N71="prismático",0.8,"----")</f>
        <v>0.8</v>
      </c>
      <c r="P83" s="99" t="s">
        <v>144</v>
      </c>
      <c r="Q83" s="100">
        <f>IF($N$71="prismático",Q78,"----")</f>
        <v>3</v>
      </c>
      <c r="R83" s="101" t="str">
        <f>IF($N$71="prismático",IF(Q83&gt;=O83,"Atende","Não Atende"),"----")</f>
        <v>Atende</v>
      </c>
      <c r="S83" s="28"/>
      <c r="T83" s="28"/>
      <c r="U83" s="388"/>
      <c r="V83" s="1"/>
      <c r="Y83" s="692" t="s">
        <v>111</v>
      </c>
      <c r="Z83" s="692"/>
      <c r="AA83" s="692"/>
      <c r="AB83" s="692"/>
      <c r="AC83" s="692"/>
      <c r="AD83" s="692" t="s">
        <v>112</v>
      </c>
      <c r="AE83" s="692"/>
      <c r="AF83" s="692"/>
      <c r="AG83" s="692"/>
      <c r="AH83" s="692"/>
      <c r="AI83" s="692"/>
      <c r="AJ83" s="683" t="s">
        <v>52</v>
      </c>
      <c r="AK83" s="683"/>
      <c r="AL83" s="683"/>
      <c r="AM83" s="683"/>
      <c r="AN83" s="683"/>
    </row>
    <row r="84" spans="1:40" ht="15.75" thickBot="1" x14ac:dyDescent="0.3">
      <c r="A84" s="1"/>
      <c r="B84" s="13"/>
      <c r="C84" s="60" t="s">
        <v>147</v>
      </c>
      <c r="D84" s="15"/>
      <c r="E84" s="15"/>
      <c r="F84" s="15"/>
      <c r="G84" s="16"/>
      <c r="H84" s="1"/>
      <c r="I84" s="17"/>
      <c r="J84" s="42"/>
      <c r="K84" s="28"/>
      <c r="L84" s="28"/>
      <c r="M84" s="89" t="s">
        <v>148</v>
      </c>
      <c r="N84" s="90"/>
      <c r="O84" s="102">
        <f>IF(S79&lt;6000,1.2,IF(AND(S79&gt;=6000,S79&lt;10000),1.5,IF(S79&gt;10000,1.8,erro)))</f>
        <v>1.8</v>
      </c>
      <c r="P84" s="103">
        <f>IF(S79&lt;6000,2.2,IF(AND(S79&gt;=6000,S79&lt;10000),2.5,IF(S79&gt;10000,2.8,erro)))</f>
        <v>2.8</v>
      </c>
      <c r="Q84" s="93">
        <f>IF($N$71="cilíndrico",P75,P78)</f>
        <v>4</v>
      </c>
      <c r="R84" s="94" t="str">
        <f>IF(AND(Q84&gt;=O84,Q84&lt;=P84),"Atende","Não Atende")</f>
        <v>Não Atende</v>
      </c>
      <c r="S84" s="28"/>
      <c r="T84" s="28"/>
      <c r="U84" s="586"/>
      <c r="V84" s="1"/>
      <c r="Y84" s="692"/>
      <c r="Z84" s="692"/>
      <c r="AA84" s="692"/>
      <c r="AB84" s="692"/>
      <c r="AC84" s="692"/>
      <c r="AD84" s="693" t="s">
        <v>114</v>
      </c>
      <c r="AE84" s="693"/>
      <c r="AF84" s="693"/>
      <c r="AG84" s="693" t="s">
        <v>115</v>
      </c>
      <c r="AH84" s="693"/>
      <c r="AI84" s="693"/>
      <c r="AJ84" s="683"/>
      <c r="AK84" s="683"/>
      <c r="AL84" s="683"/>
      <c r="AM84" s="683"/>
      <c r="AN84" s="683"/>
    </row>
    <row r="85" spans="1:40" ht="14.25" customHeight="1" thickBot="1" x14ac:dyDescent="0.3">
      <c r="A85" s="1"/>
      <c r="B85" s="13"/>
      <c r="C85" s="60" t="s">
        <v>149</v>
      </c>
      <c r="D85" s="15"/>
      <c r="E85" s="15"/>
      <c r="F85" s="15"/>
      <c r="G85" s="16"/>
      <c r="H85" s="1"/>
      <c r="I85" s="17"/>
      <c r="J85" s="42"/>
      <c r="K85" s="28"/>
      <c r="L85" s="28"/>
      <c r="M85" s="97" t="s">
        <v>150</v>
      </c>
      <c r="N85" s="98"/>
      <c r="O85" s="104" t="s">
        <v>144</v>
      </c>
      <c r="P85" s="105" t="s">
        <v>144</v>
      </c>
      <c r="Q85" s="100">
        <f>IF($N$71="prismático",R78,"----")</f>
        <v>0.9</v>
      </c>
      <c r="R85" s="101" t="str">
        <f>IF($N$71="cilíndrico","----","----")</f>
        <v>----</v>
      </c>
      <c r="S85" s="28"/>
      <c r="T85" s="28"/>
      <c r="U85" s="586"/>
      <c r="V85" s="1"/>
      <c r="Y85" s="672" t="s">
        <v>121</v>
      </c>
      <c r="Z85" s="672"/>
      <c r="AA85" s="672"/>
      <c r="AB85" s="672"/>
      <c r="AC85" s="672"/>
      <c r="AD85" s="679">
        <v>1.1000000000000001</v>
      </c>
      <c r="AE85" s="679"/>
      <c r="AF85" s="679"/>
      <c r="AG85" s="696" t="s">
        <v>122</v>
      </c>
      <c r="AH85" s="697"/>
      <c r="AI85" s="697"/>
      <c r="AJ85" s="682" t="str">
        <f>IF($N$103="cilíndrico",Q107,"-----")</f>
        <v>-----</v>
      </c>
      <c r="AK85" s="683"/>
      <c r="AL85" s="683"/>
      <c r="AM85" s="683"/>
      <c r="AN85" s="683"/>
    </row>
    <row r="86" spans="1:40" ht="17.25" customHeight="1" thickBot="1" x14ac:dyDescent="0.3">
      <c r="A86" s="1"/>
      <c r="B86" s="13"/>
      <c r="C86" s="60"/>
      <c r="D86" s="15"/>
      <c r="E86" s="15"/>
      <c r="F86" s="15"/>
      <c r="G86" s="16"/>
      <c r="H86" s="1"/>
      <c r="I86" s="17"/>
      <c r="J86" s="42"/>
      <c r="K86" s="28"/>
      <c r="L86" s="28"/>
      <c r="M86" s="106" t="s">
        <v>151</v>
      </c>
      <c r="N86" s="60"/>
      <c r="O86" s="107" t="str">
        <f>IF(N71="cilíndrico","----","2:1")</f>
        <v>2:1</v>
      </c>
      <c r="P86" s="108" t="str">
        <f>IF(N71="cilíndrico","----","4:1")</f>
        <v>4:1</v>
      </c>
      <c r="Q86" s="109">
        <f>IF($N$71="prismático",(R78/Q78),"----")</f>
        <v>0.3</v>
      </c>
      <c r="R86" s="94" t="str">
        <f>IF($N$71="prismático",IF(AND(Q86&gt;=2,Q86&lt;=4),"Atende","Não Atende"),"---- ")</f>
        <v>Não Atende</v>
      </c>
      <c r="S86" s="28"/>
      <c r="T86" s="28"/>
      <c r="U86" s="586"/>
      <c r="V86" s="1"/>
      <c r="Y86" s="672" t="s">
        <v>123</v>
      </c>
      <c r="Z86" s="672"/>
      <c r="AA86" s="672"/>
      <c r="AB86" s="672"/>
      <c r="AC86" s="672"/>
      <c r="AD86" s="679">
        <v>0.8</v>
      </c>
      <c r="AE86" s="679"/>
      <c r="AF86" s="679"/>
      <c r="AG86" s="696" t="s">
        <v>122</v>
      </c>
      <c r="AH86" s="697"/>
      <c r="AI86" s="697"/>
      <c r="AJ86" s="682">
        <f>IF($N$103="prismático",Q110,"-----")</f>
        <v>1.29</v>
      </c>
      <c r="AK86" s="683"/>
      <c r="AL86" s="683"/>
      <c r="AM86" s="683"/>
      <c r="AN86" s="683"/>
    </row>
    <row r="87" spans="1:40" ht="15.75" thickBot="1" x14ac:dyDescent="0.3">
      <c r="A87" s="1"/>
      <c r="B87" s="13"/>
      <c r="C87" s="60"/>
      <c r="D87" s="15"/>
      <c r="E87" s="15"/>
      <c r="F87" s="15"/>
      <c r="G87" s="16"/>
      <c r="H87" s="1"/>
      <c r="I87" s="17"/>
      <c r="J87" s="42"/>
      <c r="K87" s="28"/>
      <c r="L87" s="28"/>
      <c r="M87" s="110" t="s">
        <v>152</v>
      </c>
      <c r="N87" s="111"/>
      <c r="O87" s="361">
        <f>S69</f>
        <v>3750</v>
      </c>
      <c r="P87" s="123" t="s">
        <v>144</v>
      </c>
      <c r="Q87" s="112">
        <f>IF(N71="cilíndrico",R75,S78)</f>
        <v>10800</v>
      </c>
      <c r="R87" s="94" t="str">
        <f>IF(Q87&gt;=O87,"Atende","Não atende")</f>
        <v>Atende</v>
      </c>
      <c r="S87" s="28"/>
      <c r="T87" s="28"/>
      <c r="U87" s="586"/>
      <c r="V87" s="1"/>
      <c r="Y87" s="672" t="s">
        <v>125</v>
      </c>
      <c r="Z87" s="672"/>
      <c r="AA87" s="672"/>
      <c r="AB87" s="672"/>
      <c r="AC87" s="672"/>
      <c r="AD87" s="684" t="s">
        <v>133</v>
      </c>
      <c r="AE87" s="679"/>
      <c r="AF87" s="679"/>
      <c r="AG87" s="679">
        <v>1.2</v>
      </c>
      <c r="AH87" s="679"/>
      <c r="AI87" s="679"/>
      <c r="AJ87" s="682">
        <f>IF($N$103="cilíndrico",P107,P110)</f>
        <v>2</v>
      </c>
      <c r="AK87" s="683"/>
      <c r="AL87" s="683"/>
      <c r="AM87" s="683"/>
      <c r="AN87" s="683"/>
    </row>
    <row r="88" spans="1:40" x14ac:dyDescent="0.25">
      <c r="A88" s="1"/>
      <c r="B88" s="13"/>
      <c r="C88" s="60"/>
      <c r="D88" s="15"/>
      <c r="E88" s="15"/>
      <c r="F88" s="15"/>
      <c r="G88" s="16"/>
      <c r="H88" s="1"/>
      <c r="I88" s="17"/>
      <c r="J88" s="42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586"/>
      <c r="V88" s="1"/>
      <c r="Y88" s="672" t="s">
        <v>132</v>
      </c>
      <c r="Z88" s="672"/>
      <c r="AA88" s="672"/>
      <c r="AB88" s="672"/>
      <c r="AC88" s="672"/>
      <c r="AD88" s="684" t="s">
        <v>133</v>
      </c>
      <c r="AE88" s="679"/>
      <c r="AF88" s="679"/>
      <c r="AG88" s="684" t="s">
        <v>133</v>
      </c>
      <c r="AH88" s="679"/>
      <c r="AI88" s="679"/>
      <c r="AJ88" s="682">
        <f>IF($N$103="prismático",R110,"-----")</f>
        <v>2</v>
      </c>
      <c r="AK88" s="683"/>
      <c r="AL88" s="683"/>
      <c r="AM88" s="683"/>
      <c r="AN88" s="683"/>
    </row>
    <row r="89" spans="1:40" x14ac:dyDescent="0.25">
      <c r="A89" s="1"/>
      <c r="B89" s="13"/>
      <c r="C89" s="60"/>
      <c r="D89" s="15"/>
      <c r="E89" s="15"/>
      <c r="F89" s="15"/>
      <c r="G89" s="16"/>
      <c r="H89" s="1"/>
      <c r="I89" s="17"/>
      <c r="J89" s="42"/>
      <c r="K89" s="355" t="s">
        <v>141</v>
      </c>
      <c r="L89" s="355"/>
      <c r="M89" s="69"/>
      <c r="N89" s="69"/>
      <c r="O89" s="69"/>
      <c r="P89" s="356"/>
      <c r="Q89" s="357"/>
      <c r="R89" s="358"/>
      <c r="S89" s="28"/>
      <c r="T89" s="28"/>
      <c r="U89" s="586"/>
      <c r="V89" s="1"/>
      <c r="Y89" s="672" t="s">
        <v>139</v>
      </c>
      <c r="Z89" s="672"/>
      <c r="AA89" s="672"/>
      <c r="AB89" s="672"/>
      <c r="AC89" s="672"/>
      <c r="AD89" s="672">
        <v>1000</v>
      </c>
      <c r="AE89" s="672"/>
      <c r="AF89" s="672"/>
      <c r="AG89" s="491" t="s">
        <v>122</v>
      </c>
      <c r="AH89" s="483"/>
      <c r="AI89" s="483"/>
      <c r="AJ89" s="687">
        <f>IF(N103="cilíndrico",((3.1416*(Q107*Q107)/4)*P107*1000),(P110*Q110*R110*1000))</f>
        <v>5160</v>
      </c>
      <c r="AK89" s="687"/>
      <c r="AL89" s="687"/>
      <c r="AM89" s="687"/>
      <c r="AN89" s="687"/>
    </row>
    <row r="90" spans="1:40" x14ac:dyDescent="0.25">
      <c r="A90" s="1"/>
      <c r="B90" s="13"/>
      <c r="C90" s="60"/>
      <c r="D90" s="15"/>
      <c r="E90" s="15"/>
      <c r="F90" s="15"/>
      <c r="G90" s="16"/>
      <c r="H90" s="1"/>
      <c r="I90" s="17"/>
      <c r="J90" s="42"/>
      <c r="K90" s="28"/>
      <c r="L90" s="28" t="s">
        <v>260</v>
      </c>
      <c r="M90" s="69"/>
      <c r="N90" s="69"/>
      <c r="O90" s="69"/>
      <c r="P90" s="356"/>
      <c r="Q90" s="357"/>
      <c r="R90" s="358"/>
      <c r="S90" s="28"/>
      <c r="T90" s="28"/>
      <c r="U90" s="586"/>
      <c r="V90" s="1"/>
      <c r="AD90" s="631"/>
    </row>
    <row r="91" spans="1:40" x14ac:dyDescent="0.25">
      <c r="A91" s="1"/>
      <c r="B91" s="13"/>
      <c r="C91" s="60"/>
      <c r="D91" s="15"/>
      <c r="E91" s="15"/>
      <c r="F91" s="15"/>
      <c r="G91" s="16"/>
      <c r="H91" s="1"/>
      <c r="I91" s="17"/>
      <c r="J91" s="42"/>
      <c r="K91" s="28"/>
      <c r="L91" s="28" t="s">
        <v>147</v>
      </c>
      <c r="M91" s="69"/>
      <c r="N91" s="69"/>
      <c r="O91" s="69"/>
      <c r="P91" s="356"/>
      <c r="Q91" s="357"/>
      <c r="R91" s="358"/>
      <c r="S91" s="28"/>
      <c r="T91" s="28"/>
      <c r="U91" s="586"/>
      <c r="V91" s="1"/>
      <c r="AD91" s="631"/>
    </row>
    <row r="92" spans="1:40" x14ac:dyDescent="0.25">
      <c r="A92" s="1"/>
      <c r="B92" s="13"/>
      <c r="C92" s="60"/>
      <c r="D92" s="15"/>
      <c r="E92" s="15"/>
      <c r="F92" s="15"/>
      <c r="G92" s="16"/>
      <c r="H92" s="1"/>
      <c r="I92" s="17"/>
      <c r="J92" s="42"/>
      <c r="K92" s="28"/>
      <c r="L92" s="28" t="s">
        <v>149</v>
      </c>
      <c r="M92" s="69"/>
      <c r="N92" s="69"/>
      <c r="O92" s="69"/>
      <c r="P92" s="356"/>
      <c r="Q92" s="357"/>
      <c r="R92" s="358"/>
      <c r="S92" s="28"/>
      <c r="T92" s="28"/>
      <c r="U92" s="586"/>
      <c r="V92" s="1"/>
      <c r="AD92" s="631"/>
    </row>
    <row r="93" spans="1:40" ht="15.75" thickBot="1" x14ac:dyDescent="0.3">
      <c r="A93" s="1"/>
      <c r="B93" s="13"/>
      <c r="C93" s="60"/>
      <c r="D93" s="15"/>
      <c r="E93" s="15"/>
      <c r="F93" s="15"/>
      <c r="G93" s="16"/>
      <c r="H93" s="1"/>
      <c r="I93" s="17"/>
      <c r="J93" s="42"/>
      <c r="K93" s="28"/>
      <c r="L93" s="28"/>
      <c r="M93" s="69"/>
      <c r="N93" s="69"/>
      <c r="O93" s="69"/>
      <c r="P93" s="356"/>
      <c r="Q93" s="357"/>
      <c r="R93" s="358"/>
      <c r="S93" s="28"/>
      <c r="T93" s="28"/>
      <c r="U93" s="586"/>
      <c r="V93" s="1"/>
    </row>
    <row r="94" spans="1:40" ht="16.5" customHeight="1" thickBot="1" x14ac:dyDescent="0.3">
      <c r="A94" s="1"/>
      <c r="B94" s="13"/>
      <c r="C94" s="60"/>
      <c r="D94" s="15"/>
      <c r="E94" s="15"/>
      <c r="F94" s="15"/>
      <c r="G94" s="16"/>
      <c r="H94" s="1"/>
      <c r="I94" s="17"/>
      <c r="J94" s="42"/>
      <c r="K94" s="28"/>
      <c r="L94" s="28" t="s">
        <v>259</v>
      </c>
      <c r="M94" s="69"/>
      <c r="N94" s="69"/>
      <c r="O94" s="69"/>
      <c r="P94" s="356"/>
      <c r="Q94" s="357"/>
      <c r="R94" s="359" t="s">
        <v>85</v>
      </c>
      <c r="S94" s="360" t="s">
        <v>97</v>
      </c>
      <c r="T94" s="28"/>
      <c r="U94" s="586"/>
      <c r="V94" s="1"/>
    </row>
    <row r="95" spans="1:40" ht="15" customHeight="1" thickBot="1" x14ac:dyDescent="0.3">
      <c r="A95" s="1"/>
      <c r="B95" s="50"/>
      <c r="C95" s="98"/>
      <c r="D95" s="113"/>
      <c r="E95" s="113"/>
      <c r="F95" s="113"/>
      <c r="G95" s="114"/>
      <c r="H95" s="2"/>
      <c r="I95" s="115"/>
      <c r="J95" s="594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588"/>
      <c r="V95" s="1"/>
    </row>
    <row r="96" spans="1:40" ht="15.75" customHeight="1" thickBot="1" x14ac:dyDescent="0.3">
      <c r="A96" s="1"/>
      <c r="B96" s="1"/>
      <c r="C96" s="1"/>
      <c r="D96" s="1"/>
      <c r="E96" s="1"/>
      <c r="F96" s="1"/>
      <c r="G96" s="1"/>
      <c r="H96" s="2"/>
      <c r="I96" s="1"/>
      <c r="J96" s="2"/>
      <c r="K96" s="2"/>
      <c r="L96" s="1"/>
      <c r="M96" s="1"/>
      <c r="N96" s="1"/>
      <c r="O96" s="1"/>
      <c r="P96" s="1"/>
      <c r="Q96" s="2"/>
      <c r="R96" s="1"/>
      <c r="S96" s="1"/>
      <c r="T96" s="1"/>
      <c r="U96" s="1"/>
      <c r="V96" s="1"/>
      <c r="Y96" s="492" t="s">
        <v>162</v>
      </c>
    </row>
    <row r="97" spans="1:40" ht="15.75" x14ac:dyDescent="0.25">
      <c r="A97" s="1"/>
      <c r="B97" s="7"/>
      <c r="C97" s="9"/>
      <c r="D97" s="9"/>
      <c r="E97" s="9"/>
      <c r="F97" s="9"/>
      <c r="G97" s="11"/>
      <c r="H97" s="2"/>
      <c r="I97" s="116"/>
      <c r="J97" s="519"/>
      <c r="K97" s="519"/>
      <c r="L97" s="520"/>
      <c r="M97" s="520"/>
      <c r="N97" s="520"/>
      <c r="O97" s="520"/>
      <c r="P97" s="520"/>
      <c r="Q97" s="519"/>
      <c r="R97" s="520"/>
      <c r="S97" s="520"/>
      <c r="T97" s="520"/>
      <c r="U97" s="521"/>
      <c r="V97" s="1"/>
      <c r="Y97" s="492" t="s">
        <v>163</v>
      </c>
    </row>
    <row r="98" spans="1:40" ht="17.25" customHeight="1" x14ac:dyDescent="0.3">
      <c r="A98" s="1"/>
      <c r="B98" s="13"/>
      <c r="C98" s="117" t="s">
        <v>153</v>
      </c>
      <c r="D98" s="117" t="s">
        <v>154</v>
      </c>
      <c r="E98" s="60"/>
      <c r="F98" s="60"/>
      <c r="G98" s="61"/>
      <c r="H98" s="2"/>
      <c r="I98" s="17"/>
      <c r="J98" s="28"/>
      <c r="K98" s="522" t="s">
        <v>155</v>
      </c>
      <c r="L98" s="589"/>
      <c r="M98" s="589"/>
      <c r="N98" s="69"/>
      <c r="O98" s="69"/>
      <c r="P98" s="69"/>
      <c r="Q98" s="28"/>
      <c r="R98" s="69"/>
      <c r="S98" s="69"/>
      <c r="T98" s="69"/>
      <c r="U98" s="388"/>
      <c r="V98" s="1"/>
    </row>
    <row r="99" spans="1:40" ht="15.75" thickBot="1" x14ac:dyDescent="0.3">
      <c r="A99" s="1"/>
      <c r="B99" s="13"/>
      <c r="C99" s="60"/>
      <c r="D99" s="60"/>
      <c r="E99" s="60"/>
      <c r="F99" s="60"/>
      <c r="G99" s="61"/>
      <c r="H99" s="2"/>
      <c r="I99" s="65"/>
      <c r="J99" s="42"/>
      <c r="K99" s="590"/>
      <c r="L99" s="590"/>
      <c r="M99" s="69"/>
      <c r="N99" s="69"/>
      <c r="O99" s="69"/>
      <c r="P99" s="530"/>
      <c r="Q99" s="28"/>
      <c r="R99" s="69"/>
      <c r="S99" s="69"/>
      <c r="T99" s="69"/>
      <c r="U99" s="388"/>
      <c r="V99" s="1"/>
    </row>
    <row r="100" spans="1:40" ht="17.25" customHeight="1" thickBot="1" x14ac:dyDescent="0.3">
      <c r="A100" s="1"/>
      <c r="B100" s="13"/>
      <c r="C100" s="60" t="s">
        <v>156</v>
      </c>
      <c r="D100" s="60"/>
      <c r="E100" s="60"/>
      <c r="F100" s="60"/>
      <c r="G100" s="61"/>
      <c r="H100" s="2"/>
      <c r="I100" s="65"/>
      <c r="J100" s="42" t="s">
        <v>11</v>
      </c>
      <c r="K100" s="590" t="s">
        <v>102</v>
      </c>
      <c r="L100" s="590"/>
      <c r="M100" s="69"/>
      <c r="N100" s="69"/>
      <c r="O100" s="28" t="s">
        <v>157</v>
      </c>
      <c r="P100" s="28"/>
      <c r="Q100" s="28" t="s">
        <v>104</v>
      </c>
      <c r="R100" s="28"/>
      <c r="S100" s="118">
        <f>1.6*((AQ59*AP59*AS59)+(AQ60*AP60*AS60))</f>
        <v>2240</v>
      </c>
      <c r="T100" s="69"/>
      <c r="U100" s="388"/>
      <c r="V100" s="1"/>
    </row>
    <row r="101" spans="1:40" x14ac:dyDescent="0.25">
      <c r="A101" s="1"/>
      <c r="B101" s="13"/>
      <c r="C101" s="60"/>
      <c r="D101" s="60"/>
      <c r="E101" s="60"/>
      <c r="F101" s="60"/>
      <c r="G101" s="61"/>
      <c r="H101" s="2"/>
      <c r="I101" s="65"/>
      <c r="J101" s="42"/>
      <c r="K101" s="28"/>
      <c r="L101" s="69"/>
      <c r="M101" s="69"/>
      <c r="N101" s="69"/>
      <c r="O101" s="69"/>
      <c r="P101" s="69"/>
      <c r="Q101" s="28"/>
      <c r="R101" s="42"/>
      <c r="S101" s="353"/>
      <c r="T101" s="69"/>
      <c r="U101" s="388"/>
      <c r="V101" s="1"/>
    </row>
    <row r="102" spans="1:40" ht="15.75" thickBot="1" x14ac:dyDescent="0.3">
      <c r="A102" s="1"/>
      <c r="B102" s="13"/>
      <c r="C102" s="60" t="s">
        <v>158</v>
      </c>
      <c r="D102" s="60"/>
      <c r="E102" s="60"/>
      <c r="F102" s="60"/>
      <c r="G102" s="61"/>
      <c r="H102" s="2"/>
      <c r="I102" s="65"/>
      <c r="J102" s="28"/>
      <c r="K102" s="69"/>
      <c r="L102" s="69"/>
      <c r="M102" s="69"/>
      <c r="N102" s="69"/>
      <c r="O102" s="69"/>
      <c r="P102" s="69"/>
      <c r="Q102" s="28"/>
      <c r="R102" s="69"/>
      <c r="S102" s="69"/>
      <c r="T102" s="69"/>
      <c r="U102" s="388"/>
      <c r="V102" s="1"/>
      <c r="AD102" s="467"/>
      <c r="AE102" s="467"/>
      <c r="AF102" s="467"/>
      <c r="AG102" s="467"/>
      <c r="AH102" s="467"/>
    </row>
    <row r="103" spans="1:40" ht="18" customHeight="1" thickBot="1" x14ac:dyDescent="0.3">
      <c r="A103" s="1"/>
      <c r="B103" s="13"/>
      <c r="C103" s="60"/>
      <c r="D103" s="60"/>
      <c r="E103" s="60"/>
      <c r="F103" s="60"/>
      <c r="G103" s="61"/>
      <c r="H103" s="2"/>
      <c r="I103" s="65"/>
      <c r="J103" s="28" t="s">
        <v>33</v>
      </c>
      <c r="K103" s="28" t="s">
        <v>159</v>
      </c>
      <c r="L103" s="28"/>
      <c r="M103" s="359" t="s">
        <v>85</v>
      </c>
      <c r="N103" s="688" t="s">
        <v>95</v>
      </c>
      <c r="O103" s="689"/>
      <c r="P103" s="596"/>
      <c r="Q103" s="597"/>
      <c r="R103" s="597"/>
      <c r="S103" s="597"/>
      <c r="T103" s="69"/>
      <c r="U103" s="388"/>
      <c r="V103" s="1"/>
      <c r="Y103" s="462" t="s">
        <v>50</v>
      </c>
      <c r="Z103" s="472">
        <f>S129</f>
        <v>68</v>
      </c>
      <c r="AA103" s="67"/>
      <c r="AB103" s="67"/>
      <c r="AC103" s="67"/>
      <c r="AE103" s="458" t="s">
        <v>164</v>
      </c>
      <c r="AI103" s="627"/>
      <c r="AJ103" s="690">
        <f>S132</f>
        <v>20.588235294117649</v>
      </c>
      <c r="AK103" s="690"/>
    </row>
    <row r="104" spans="1:40" ht="18" customHeight="1" x14ac:dyDescent="0.25">
      <c r="A104" s="1"/>
      <c r="B104" s="13"/>
      <c r="C104" s="60" t="s">
        <v>160</v>
      </c>
      <c r="D104" s="60"/>
      <c r="E104" s="60"/>
      <c r="F104" s="60"/>
      <c r="G104" s="61"/>
      <c r="H104" s="2"/>
      <c r="I104" s="65"/>
      <c r="J104" s="28"/>
      <c r="K104" s="507"/>
      <c r="L104" s="507"/>
      <c r="M104" s="507"/>
      <c r="N104" s="527"/>
      <c r="O104" s="527"/>
      <c r="P104" s="596"/>
      <c r="Q104" s="597"/>
      <c r="R104" s="597"/>
      <c r="S104" s="597"/>
      <c r="T104" s="69"/>
      <c r="U104" s="388"/>
      <c r="V104" s="1"/>
      <c r="Y104" s="462" t="s">
        <v>52</v>
      </c>
      <c r="Z104" s="473">
        <f>S131</f>
        <v>0</v>
      </c>
      <c r="AA104" s="462"/>
      <c r="AB104" s="66"/>
      <c r="AD104" s="631"/>
      <c r="AE104" s="458" t="s">
        <v>164</v>
      </c>
      <c r="AI104" s="627"/>
      <c r="AJ104" s="690">
        <f>S133</f>
        <v>0</v>
      </c>
      <c r="AK104" s="691"/>
    </row>
    <row r="105" spans="1:40" ht="20.25" customHeight="1" thickBot="1" x14ac:dyDescent="0.3">
      <c r="A105" s="1"/>
      <c r="B105" s="13"/>
      <c r="C105" s="60"/>
      <c r="D105" s="60"/>
      <c r="E105" s="60"/>
      <c r="F105" s="60"/>
      <c r="G105" s="61"/>
      <c r="H105" s="2"/>
      <c r="I105" s="65"/>
      <c r="J105" s="28"/>
      <c r="K105" s="69"/>
      <c r="L105" s="69"/>
      <c r="M105" s="69"/>
      <c r="N105" s="69"/>
      <c r="O105" s="69"/>
      <c r="P105" s="69"/>
      <c r="Q105" s="28"/>
      <c r="R105" s="69"/>
      <c r="S105" s="353"/>
      <c r="T105" s="69"/>
      <c r="U105" s="388"/>
      <c r="V105" s="1"/>
      <c r="Y105" s="692" t="s">
        <v>111</v>
      </c>
      <c r="Z105" s="692"/>
      <c r="AA105" s="692"/>
      <c r="AB105" s="692"/>
      <c r="AC105" s="692"/>
      <c r="AD105" s="692" t="s">
        <v>112</v>
      </c>
      <c r="AE105" s="692"/>
      <c r="AF105" s="692"/>
      <c r="AG105" s="692"/>
      <c r="AH105" s="692"/>
      <c r="AI105" s="692"/>
      <c r="AJ105" s="683" t="s">
        <v>52</v>
      </c>
      <c r="AK105" s="683"/>
      <c r="AL105" s="683"/>
      <c r="AM105" s="683"/>
      <c r="AN105" s="683"/>
    </row>
    <row r="106" spans="1:40" ht="18" customHeight="1" thickBot="1" x14ac:dyDescent="0.3">
      <c r="A106" s="1"/>
      <c r="B106" s="13"/>
      <c r="C106" s="120"/>
      <c r="D106" s="121"/>
      <c r="E106" s="121"/>
      <c r="F106" s="121"/>
      <c r="G106" s="61"/>
      <c r="H106" s="2"/>
      <c r="I106" s="65"/>
      <c r="J106" s="42" t="s">
        <v>45</v>
      </c>
      <c r="K106" s="28" t="s">
        <v>117</v>
      </c>
      <c r="L106" s="69"/>
      <c r="M106" s="69"/>
      <c r="N106" s="69"/>
      <c r="O106" s="69"/>
      <c r="P106" s="400" t="s">
        <v>118</v>
      </c>
      <c r="Q106" s="72" t="s">
        <v>119</v>
      </c>
      <c r="R106" s="694" t="s">
        <v>120</v>
      </c>
      <c r="S106" s="695"/>
      <c r="T106" s="69"/>
      <c r="U106" s="388"/>
      <c r="V106" s="1"/>
      <c r="Y106" s="692"/>
      <c r="Z106" s="692"/>
      <c r="AA106" s="692"/>
      <c r="AB106" s="692"/>
      <c r="AC106" s="692"/>
      <c r="AD106" s="693" t="s">
        <v>114</v>
      </c>
      <c r="AE106" s="693"/>
      <c r="AF106" s="693"/>
      <c r="AG106" s="693" t="s">
        <v>115</v>
      </c>
      <c r="AH106" s="693"/>
      <c r="AI106" s="693"/>
      <c r="AJ106" s="683"/>
      <c r="AK106" s="683"/>
      <c r="AL106" s="683"/>
      <c r="AM106" s="683"/>
      <c r="AN106" s="683"/>
    </row>
    <row r="107" spans="1:40" ht="18" customHeight="1" thickBot="1" x14ac:dyDescent="0.3">
      <c r="A107" s="1"/>
      <c r="B107" s="13"/>
      <c r="C107" s="122"/>
      <c r="D107" s="60"/>
      <c r="E107" s="60"/>
      <c r="F107" s="60"/>
      <c r="G107" s="61"/>
      <c r="H107" s="2"/>
      <c r="I107" s="65"/>
      <c r="J107" s="42"/>
      <c r="K107" s="69" t="s">
        <v>161</v>
      </c>
      <c r="L107" s="69"/>
      <c r="M107" s="69"/>
      <c r="N107" s="391" t="s">
        <v>269</v>
      </c>
      <c r="O107" s="69"/>
      <c r="P107" s="73">
        <v>1.2</v>
      </c>
      <c r="Q107" s="144">
        <v>1.5</v>
      </c>
      <c r="R107" s="655">
        <f>((3.1416*Q107*Q107)/4)*P107*1000</f>
        <v>2120.58</v>
      </c>
      <c r="S107" s="656"/>
      <c r="T107" s="69"/>
      <c r="U107" s="388"/>
      <c r="V107" s="1"/>
      <c r="Y107" s="672" t="s">
        <v>121</v>
      </c>
      <c r="Z107" s="672"/>
      <c r="AA107" s="672"/>
      <c r="AB107" s="672"/>
      <c r="AC107" s="672"/>
      <c r="AD107" s="679">
        <v>0.3</v>
      </c>
      <c r="AE107" s="679"/>
      <c r="AF107" s="679"/>
      <c r="AG107" s="696" t="s">
        <v>122</v>
      </c>
      <c r="AH107" s="697"/>
      <c r="AI107" s="697"/>
      <c r="AJ107" s="682" t="str">
        <f>IF($N$135="cilíndrico",S141,"-----")</f>
        <v>-----</v>
      </c>
      <c r="AK107" s="683"/>
      <c r="AL107" s="683"/>
      <c r="AM107" s="683"/>
      <c r="AN107" s="683"/>
    </row>
    <row r="108" spans="1:40" ht="15.75" thickBot="1" x14ac:dyDescent="0.3">
      <c r="A108" s="1"/>
      <c r="B108" s="13"/>
      <c r="C108" s="60"/>
      <c r="D108" s="60"/>
      <c r="E108" s="60"/>
      <c r="F108" s="60"/>
      <c r="G108" s="61"/>
      <c r="H108" s="2"/>
      <c r="I108" s="65"/>
      <c r="J108" s="42"/>
      <c r="K108" s="69"/>
      <c r="L108" s="69"/>
      <c r="M108" s="69"/>
      <c r="N108" s="69"/>
      <c r="O108" s="69"/>
      <c r="P108" s="602"/>
      <c r="Q108" s="595"/>
      <c r="R108" s="603"/>
      <c r="S108" s="419"/>
      <c r="T108" s="69"/>
      <c r="U108" s="388"/>
      <c r="V108" s="1"/>
      <c r="Y108" s="672" t="s">
        <v>166</v>
      </c>
      <c r="Z108" s="672"/>
      <c r="AA108" s="672"/>
      <c r="AB108" s="672"/>
      <c r="AC108" s="672"/>
      <c r="AD108" s="679">
        <v>0.6</v>
      </c>
      <c r="AE108" s="679"/>
      <c r="AF108" s="679"/>
      <c r="AG108" s="680">
        <v>1.5</v>
      </c>
      <c r="AH108" s="681"/>
      <c r="AI108" s="681"/>
      <c r="AJ108" s="682" t="e">
        <f>IF($N$135="prismático",#REF!,"-----")</f>
        <v>#REF!</v>
      </c>
      <c r="AK108" s="683"/>
      <c r="AL108" s="683"/>
      <c r="AM108" s="683"/>
      <c r="AN108" s="683"/>
    </row>
    <row r="109" spans="1:40" ht="15.75" thickBot="1" x14ac:dyDescent="0.3">
      <c r="A109" s="1"/>
      <c r="B109" s="13"/>
      <c r="C109" s="60"/>
      <c r="D109" s="60"/>
      <c r="E109" s="60"/>
      <c r="F109" s="60"/>
      <c r="G109" s="61"/>
      <c r="H109" s="2"/>
      <c r="I109" s="65"/>
      <c r="J109" s="42" t="s">
        <v>127</v>
      </c>
      <c r="K109" s="28" t="s">
        <v>128</v>
      </c>
      <c r="L109" s="69"/>
      <c r="M109" s="69"/>
      <c r="N109" s="69"/>
      <c r="O109" s="69"/>
      <c r="P109" s="400" t="s">
        <v>118</v>
      </c>
      <c r="Q109" s="72" t="s">
        <v>129</v>
      </c>
      <c r="R109" s="401" t="s">
        <v>130</v>
      </c>
      <c r="S109" s="401" t="s">
        <v>131</v>
      </c>
      <c r="T109" s="69"/>
      <c r="U109" s="388"/>
      <c r="V109" s="1"/>
      <c r="Y109" s="672" t="s">
        <v>125</v>
      </c>
      <c r="Z109" s="672"/>
      <c r="AA109" s="672"/>
      <c r="AB109" s="672"/>
      <c r="AC109" s="672"/>
      <c r="AD109" s="684" t="s">
        <v>133</v>
      </c>
      <c r="AE109" s="679"/>
      <c r="AF109" s="679"/>
      <c r="AG109" s="684" t="s">
        <v>133</v>
      </c>
      <c r="AH109" s="679"/>
      <c r="AI109" s="679"/>
      <c r="AJ109" s="682" t="e">
        <f>IF($N$135="cilindrico",#REF!,#REF!)</f>
        <v>#REF!</v>
      </c>
      <c r="AK109" s="683"/>
      <c r="AL109" s="683"/>
      <c r="AM109" s="683"/>
      <c r="AN109" s="683"/>
    </row>
    <row r="110" spans="1:40" ht="16.5" customHeight="1" thickBot="1" x14ac:dyDescent="0.3">
      <c r="A110" s="1"/>
      <c r="B110" s="13"/>
      <c r="C110" s="60"/>
      <c r="D110" s="60"/>
      <c r="E110" s="60"/>
      <c r="F110" s="60"/>
      <c r="G110" s="61"/>
      <c r="H110" s="2"/>
      <c r="I110" s="65"/>
      <c r="J110" s="42"/>
      <c r="K110" s="530"/>
      <c r="L110" s="69"/>
      <c r="M110" s="69"/>
      <c r="N110" s="600" t="s">
        <v>268</v>
      </c>
      <c r="O110" s="601"/>
      <c r="P110" s="73">
        <v>2</v>
      </c>
      <c r="Q110" s="144">
        <v>1.29</v>
      </c>
      <c r="R110" s="78">
        <v>2</v>
      </c>
      <c r="S110" s="79">
        <f>P110*Q110*R110*1000</f>
        <v>5160</v>
      </c>
      <c r="T110" s="69"/>
      <c r="U110" s="388"/>
      <c r="V110" s="1"/>
      <c r="Y110" s="672" t="s">
        <v>132</v>
      </c>
      <c r="Z110" s="672"/>
      <c r="AA110" s="672"/>
      <c r="AB110" s="672"/>
      <c r="AC110" s="672"/>
      <c r="AD110" s="684" t="s">
        <v>133</v>
      </c>
      <c r="AE110" s="679"/>
      <c r="AF110" s="679"/>
      <c r="AG110" s="684">
        <v>30</v>
      </c>
      <c r="AH110" s="679"/>
      <c r="AI110" s="679"/>
      <c r="AJ110" s="682" t="str">
        <f>IF($N$103="prismático",S145,"-----")</f>
        <v>A infilt.(m²)</v>
      </c>
      <c r="AK110" s="683"/>
      <c r="AL110" s="683"/>
      <c r="AM110" s="683"/>
      <c r="AN110" s="683"/>
    </row>
    <row r="111" spans="1:40" ht="15.75" thickBot="1" x14ac:dyDescent="0.3">
      <c r="A111" s="1"/>
      <c r="B111" s="13"/>
      <c r="C111" s="60"/>
      <c r="D111" s="60"/>
      <c r="E111" s="60"/>
      <c r="F111" s="60"/>
      <c r="G111" s="61"/>
      <c r="H111" s="2"/>
      <c r="I111" s="65"/>
      <c r="J111" s="42"/>
      <c r="K111" s="530"/>
      <c r="L111" s="69"/>
      <c r="M111" s="69"/>
      <c r="N111" s="69"/>
      <c r="O111" s="69"/>
      <c r="P111" s="77"/>
      <c r="Q111" s="76"/>
      <c r="R111" s="77"/>
      <c r="S111" s="389"/>
      <c r="T111" s="69"/>
      <c r="U111" s="388"/>
      <c r="V111" s="1"/>
      <c r="Y111" s="672" t="s">
        <v>167</v>
      </c>
      <c r="Z111" s="672"/>
      <c r="AA111" s="672"/>
      <c r="AB111" s="672"/>
      <c r="AC111" s="672"/>
      <c r="AD111" s="672"/>
      <c r="AE111" s="672"/>
      <c r="AF111" s="672"/>
      <c r="AG111" s="491" t="s">
        <v>122</v>
      </c>
      <c r="AH111" s="483"/>
      <c r="AI111" s="483"/>
      <c r="AJ111" s="687" t="e">
        <f>IF(N137="cilindrico",((3.1416*(S141*S141)/4)*S142*1000),(Q145*R145*S145*1000))</f>
        <v>#VALUE!</v>
      </c>
      <c r="AK111" s="687"/>
      <c r="AL111" s="687"/>
      <c r="AM111" s="687"/>
      <c r="AN111" s="687"/>
    </row>
    <row r="112" spans="1:40" ht="15.75" thickBot="1" x14ac:dyDescent="0.3">
      <c r="A112" s="1"/>
      <c r="B112" s="13"/>
      <c r="C112" s="60"/>
      <c r="D112" s="60"/>
      <c r="E112" s="60"/>
      <c r="F112" s="60"/>
      <c r="G112" s="61"/>
      <c r="H112" s="2"/>
      <c r="I112" s="65"/>
      <c r="J112" s="42"/>
      <c r="K112" s="530"/>
      <c r="L112" s="69"/>
      <c r="M112" s="665" t="s">
        <v>111</v>
      </c>
      <c r="N112" s="667"/>
      <c r="O112" s="657" t="s">
        <v>112</v>
      </c>
      <c r="P112" s="658"/>
      <c r="Q112" s="659" t="s">
        <v>52</v>
      </c>
      <c r="R112" s="659" t="s">
        <v>140</v>
      </c>
      <c r="S112" s="389"/>
      <c r="T112" s="69"/>
      <c r="U112" s="388"/>
      <c r="V112" s="1"/>
    </row>
    <row r="113" spans="1:28" ht="15.75" thickBot="1" x14ac:dyDescent="0.3">
      <c r="A113" s="1"/>
      <c r="B113" s="13"/>
      <c r="C113" s="60"/>
      <c r="D113" s="60"/>
      <c r="E113" s="60"/>
      <c r="F113" s="60"/>
      <c r="G113" s="61"/>
      <c r="H113" s="2"/>
      <c r="I113" s="65"/>
      <c r="J113" s="42"/>
      <c r="K113" s="530"/>
      <c r="L113" s="69"/>
      <c r="M113" s="668"/>
      <c r="N113" s="670"/>
      <c r="O113" s="87" t="s">
        <v>114</v>
      </c>
      <c r="P113" s="88" t="s">
        <v>115</v>
      </c>
      <c r="Q113" s="660"/>
      <c r="R113" s="660"/>
      <c r="S113" s="389"/>
      <c r="T113" s="69"/>
      <c r="U113" s="388"/>
      <c r="V113" s="1"/>
      <c r="Y113" s="458" t="s">
        <v>170</v>
      </c>
      <c r="AB113" s="458">
        <f>N147</f>
        <v>0</v>
      </c>
    </row>
    <row r="114" spans="1:28" ht="15.75" thickBot="1" x14ac:dyDescent="0.3">
      <c r="A114" s="1"/>
      <c r="B114" s="13"/>
      <c r="C114" s="60"/>
      <c r="D114" s="60"/>
      <c r="E114" s="60"/>
      <c r="F114" s="60"/>
      <c r="G114" s="61"/>
      <c r="H114" s="2"/>
      <c r="I114" s="65"/>
      <c r="J114" s="42"/>
      <c r="K114" s="530"/>
      <c r="L114" s="69"/>
      <c r="M114" s="89" t="s">
        <v>143</v>
      </c>
      <c r="N114" s="90"/>
      <c r="O114" s="123" t="s">
        <v>144</v>
      </c>
      <c r="P114" s="92" t="s">
        <v>144</v>
      </c>
      <c r="Q114" s="93" t="str">
        <f>IF($N$103="cilíndrico",Q107,"----")</f>
        <v>----</v>
      </c>
      <c r="R114" s="94" t="str">
        <f>IF($N$103="cilíndrico","----","----")</f>
        <v>----</v>
      </c>
      <c r="S114" s="389"/>
      <c r="T114" s="69"/>
      <c r="U114" s="388"/>
      <c r="V114" s="124"/>
    </row>
    <row r="115" spans="1:28" ht="15.75" customHeight="1" thickBot="1" x14ac:dyDescent="0.35">
      <c r="A115" s="1"/>
      <c r="B115" s="13"/>
      <c r="C115" s="60"/>
      <c r="D115" s="60"/>
      <c r="E115" s="60"/>
      <c r="F115" s="60"/>
      <c r="G115" s="61"/>
      <c r="H115" s="2"/>
      <c r="I115" s="65"/>
      <c r="J115" s="42"/>
      <c r="K115" s="530"/>
      <c r="L115" s="598"/>
      <c r="M115" s="97" t="s">
        <v>146</v>
      </c>
      <c r="N115" s="98"/>
      <c r="O115" s="104" t="s">
        <v>144</v>
      </c>
      <c r="P115" s="99" t="s">
        <v>144</v>
      </c>
      <c r="Q115" s="100">
        <f>IF($N$103="prismático",Q110,"----")</f>
        <v>1.29</v>
      </c>
      <c r="R115" s="94" t="str">
        <f>IF($N$103="cilíndrico","----","----")</f>
        <v>----</v>
      </c>
      <c r="S115" s="389"/>
      <c r="T115" s="69"/>
      <c r="U115" s="388"/>
      <c r="V115" s="124"/>
    </row>
    <row r="116" spans="1:28" ht="15.75" thickBot="1" x14ac:dyDescent="0.3">
      <c r="A116" s="1"/>
      <c r="B116" s="13"/>
      <c r="C116" s="60"/>
      <c r="D116" s="60"/>
      <c r="E116" s="60"/>
      <c r="F116" s="60"/>
      <c r="G116" s="61"/>
      <c r="H116" s="2"/>
      <c r="I116" s="65"/>
      <c r="J116" s="42"/>
      <c r="K116" s="69"/>
      <c r="L116" s="69"/>
      <c r="M116" s="89" t="s">
        <v>148</v>
      </c>
      <c r="N116" s="90"/>
      <c r="O116" s="125" t="s">
        <v>144</v>
      </c>
      <c r="P116" s="103">
        <v>1.2</v>
      </c>
      <c r="Q116" s="93">
        <f>IF($N$103="cilíndrico",P107,P110)</f>
        <v>2</v>
      </c>
      <c r="R116" s="94" t="str">
        <f>IF(Q116&lt;=P116,"Atende","Não atende")</f>
        <v>Não atende</v>
      </c>
      <c r="S116" s="603"/>
      <c r="T116" s="69"/>
      <c r="U116" s="388"/>
      <c r="V116" s="1"/>
    </row>
    <row r="117" spans="1:28" ht="15.75" thickBot="1" x14ac:dyDescent="0.3">
      <c r="A117" s="1"/>
      <c r="B117" s="13"/>
      <c r="C117" s="60"/>
      <c r="D117" s="60"/>
      <c r="E117" s="60"/>
      <c r="F117" s="60"/>
      <c r="G117" s="61"/>
      <c r="H117" s="2"/>
      <c r="I117" s="65"/>
      <c r="J117" s="42"/>
      <c r="K117" s="28"/>
      <c r="L117" s="69"/>
      <c r="M117" s="97" t="s">
        <v>150</v>
      </c>
      <c r="N117" s="98"/>
      <c r="O117" s="104" t="s">
        <v>144</v>
      </c>
      <c r="P117" s="105" t="s">
        <v>144</v>
      </c>
      <c r="Q117" s="100">
        <f>IF($N$103="prismático",R110,"----")</f>
        <v>2</v>
      </c>
      <c r="R117" s="101" t="str">
        <f>IF($N$103="cilíndrico","----","----")</f>
        <v>----</v>
      </c>
      <c r="S117" s="42"/>
      <c r="T117" s="69"/>
      <c r="U117" s="388"/>
      <c r="V117" s="1"/>
      <c r="W117" s="469"/>
    </row>
    <row r="118" spans="1:28" ht="15.75" customHeight="1" thickBot="1" x14ac:dyDescent="0.3">
      <c r="A118" s="1"/>
      <c r="B118" s="13"/>
      <c r="C118" s="60"/>
      <c r="D118" s="60"/>
      <c r="E118" s="60"/>
      <c r="F118" s="60"/>
      <c r="G118" s="61"/>
      <c r="H118" s="1"/>
      <c r="I118" s="65"/>
      <c r="J118" s="42"/>
      <c r="K118" s="530"/>
      <c r="L118" s="69"/>
      <c r="M118" s="110" t="s">
        <v>152</v>
      </c>
      <c r="N118" s="111"/>
      <c r="O118" s="126">
        <f>IF(S100&lt;1000,1000,S100)</f>
        <v>2240</v>
      </c>
      <c r="P118" s="105" t="s">
        <v>144</v>
      </c>
      <c r="Q118" s="112">
        <f>IF(N103="cilíndrico",R107,S110)</f>
        <v>5160</v>
      </c>
      <c r="R118" s="94" t="str">
        <f>IF(Q118&gt;=O118,"Atende","Não atende")</f>
        <v>Atende</v>
      </c>
      <c r="S118" s="389"/>
      <c r="T118" s="69"/>
      <c r="U118" s="388"/>
      <c r="V118" s="1"/>
      <c r="Y118" s="458" t="s">
        <v>178</v>
      </c>
    </row>
    <row r="119" spans="1:28" ht="15.75" customHeight="1" thickBot="1" x14ac:dyDescent="0.3">
      <c r="A119" s="1"/>
      <c r="B119" s="50"/>
      <c r="C119" s="98"/>
      <c r="D119" s="98"/>
      <c r="E119" s="98"/>
      <c r="F119" s="98"/>
      <c r="G119" s="127"/>
      <c r="H119" s="2"/>
      <c r="I119" s="128"/>
      <c r="J119" s="594"/>
      <c r="K119" s="599"/>
      <c r="L119" s="416"/>
      <c r="M119" s="129"/>
      <c r="N119" s="129"/>
      <c r="O119" s="129"/>
      <c r="P119" s="129"/>
      <c r="Q119" s="130"/>
      <c r="R119" s="131"/>
      <c r="S119" s="604"/>
      <c r="T119" s="416"/>
      <c r="U119" s="418"/>
      <c r="V119" s="1"/>
      <c r="Y119" s="458" t="s">
        <v>180</v>
      </c>
    </row>
    <row r="120" spans="1:28" ht="15.75" customHeight="1" thickBot="1" x14ac:dyDescent="0.3">
      <c r="A120" s="1"/>
      <c r="B120" s="1"/>
      <c r="C120" s="2"/>
      <c r="D120" s="2"/>
      <c r="E120" s="2"/>
      <c r="F120" s="2"/>
      <c r="G120" s="2"/>
      <c r="H120" s="2"/>
      <c r="I120" s="2"/>
      <c r="J120" s="132"/>
      <c r="K120" s="2"/>
      <c r="L120" s="1"/>
      <c r="M120" s="1"/>
      <c r="N120" s="1"/>
      <c r="O120" s="1"/>
      <c r="P120" s="1"/>
      <c r="Q120" s="2"/>
      <c r="R120" s="1"/>
      <c r="S120" s="1"/>
      <c r="T120" s="1"/>
      <c r="U120" s="1"/>
      <c r="V120" s="1"/>
      <c r="Y120" s="458" t="s">
        <v>181</v>
      </c>
    </row>
    <row r="121" spans="1:28" ht="19.5" thickBot="1" x14ac:dyDescent="0.35">
      <c r="A121" s="1"/>
      <c r="B121" s="1"/>
      <c r="C121" s="2"/>
      <c r="D121" s="2"/>
      <c r="E121" s="2"/>
      <c r="F121" s="2"/>
      <c r="G121" s="2"/>
      <c r="H121" s="2"/>
      <c r="I121" s="4"/>
      <c r="J121" s="4" t="s">
        <v>165</v>
      </c>
      <c r="K121" s="2"/>
      <c r="L121" s="1"/>
      <c r="M121" s="1"/>
      <c r="N121" s="685" t="s">
        <v>163</v>
      </c>
      <c r="O121" s="686"/>
      <c r="P121" s="390" t="s">
        <v>264</v>
      </c>
      <c r="Q121" s="2"/>
      <c r="R121" s="1"/>
      <c r="S121" s="1"/>
      <c r="T121" s="1"/>
      <c r="U121" s="1"/>
      <c r="V121" s="1"/>
    </row>
    <row r="122" spans="1:28" ht="15.75" thickBot="1" x14ac:dyDescent="0.3">
      <c r="A122" s="1"/>
      <c r="B122" s="1"/>
      <c r="C122" s="2"/>
      <c r="D122" s="2"/>
      <c r="E122" s="2"/>
      <c r="F122" s="2"/>
      <c r="G122" s="2"/>
      <c r="H122" s="2"/>
      <c r="I122" s="133"/>
      <c r="J122" s="134"/>
      <c r="K122" s="133"/>
      <c r="L122" s="135"/>
      <c r="M122" s="135"/>
      <c r="N122" s="135"/>
      <c r="O122" s="135"/>
      <c r="P122" s="135"/>
      <c r="Q122" s="133"/>
      <c r="R122" s="135"/>
      <c r="S122" s="135"/>
      <c r="T122" s="135"/>
      <c r="U122" s="135"/>
      <c r="V122" s="1"/>
      <c r="Y122" s="458" t="e">
        <f>IF(N121="sumidouro",P151,#REF!)</f>
        <v>#REF!</v>
      </c>
    </row>
    <row r="123" spans="1:28" ht="18.75" x14ac:dyDescent="0.3">
      <c r="A123" s="1"/>
      <c r="B123" s="7"/>
      <c r="C123" s="136"/>
      <c r="D123" s="136"/>
      <c r="E123" s="10"/>
      <c r="F123" s="9"/>
      <c r="G123" s="137"/>
      <c r="H123" s="2"/>
      <c r="I123" s="116"/>
      <c r="J123" s="605"/>
      <c r="K123" s="606"/>
      <c r="L123" s="520"/>
      <c r="M123" s="520"/>
      <c r="N123" s="520"/>
      <c r="O123" s="520"/>
      <c r="P123" s="520"/>
      <c r="Q123" s="519"/>
      <c r="R123" s="520"/>
      <c r="S123" s="520"/>
      <c r="T123" s="520"/>
      <c r="U123" s="521"/>
      <c r="V123" s="1"/>
      <c r="Z123" s="462"/>
    </row>
    <row r="124" spans="1:28" ht="15.75" customHeight="1" x14ac:dyDescent="0.3">
      <c r="A124" s="1"/>
      <c r="B124" s="13"/>
      <c r="C124" s="117" t="s">
        <v>162</v>
      </c>
      <c r="D124" s="117" t="s">
        <v>154</v>
      </c>
      <c r="E124" s="60"/>
      <c r="F124" s="60"/>
      <c r="G124" s="61"/>
      <c r="H124" s="2"/>
      <c r="I124" s="17"/>
      <c r="J124" s="42"/>
      <c r="K124" s="522" t="s">
        <v>162</v>
      </c>
      <c r="L124" s="69"/>
      <c r="M124" s="69"/>
      <c r="N124" s="69"/>
      <c r="O124" s="69"/>
      <c r="P124" s="69"/>
      <c r="Q124" s="28"/>
      <c r="R124" s="69"/>
      <c r="S124" s="69"/>
      <c r="T124" s="69"/>
      <c r="U124" s="388"/>
      <c r="V124" s="1"/>
      <c r="Y124" s="458" t="e">
        <f>IF(N121="sumidouro",IF(OR(Y122="&lt; 1,50m",Y122="Não Informado"),"Não atende","Atende"),IF(OR(Y122="&lt; 1,50m",Y122="Não Informado"),"Não atende","Atende"))</f>
        <v>#REF!</v>
      </c>
    </row>
    <row r="125" spans="1:28" ht="16.5" customHeight="1" thickBot="1" x14ac:dyDescent="0.35">
      <c r="A125" s="1"/>
      <c r="B125" s="13"/>
      <c r="C125" s="60"/>
      <c r="D125" s="60"/>
      <c r="E125" s="60"/>
      <c r="F125" s="60"/>
      <c r="G125" s="61"/>
      <c r="H125" s="2"/>
      <c r="I125" s="65"/>
      <c r="J125" s="42"/>
      <c r="K125" s="522"/>
      <c r="L125" s="69"/>
      <c r="M125" s="69"/>
      <c r="N125" s="69"/>
      <c r="O125" s="28"/>
      <c r="P125" s="28"/>
      <c r="Q125" s="28"/>
      <c r="R125" s="69"/>
      <c r="S125" s="69"/>
      <c r="T125" s="69"/>
      <c r="U125" s="388"/>
      <c r="V125" s="1"/>
    </row>
    <row r="126" spans="1:28" ht="16.5" customHeight="1" thickBot="1" x14ac:dyDescent="0.3">
      <c r="A126" s="1"/>
      <c r="B126" s="13"/>
      <c r="C126" s="60" t="s">
        <v>168</v>
      </c>
      <c r="D126" s="60"/>
      <c r="E126" s="60"/>
      <c r="F126" s="60"/>
      <c r="G126" s="61"/>
      <c r="H126" s="2"/>
      <c r="I126" s="65"/>
      <c r="J126" s="42" t="s">
        <v>11</v>
      </c>
      <c r="K126" s="590" t="s">
        <v>102</v>
      </c>
      <c r="L126" s="590"/>
      <c r="M126" s="69"/>
      <c r="N126" s="69"/>
      <c r="O126" s="28" t="s">
        <v>169</v>
      </c>
      <c r="P126" s="28"/>
      <c r="Q126" s="507" t="s">
        <v>104</v>
      </c>
      <c r="R126" s="507"/>
      <c r="S126" s="138">
        <f>(AP59*AQ59)+(AP60*AQ60)</f>
        <v>1400</v>
      </c>
      <c r="T126" s="69"/>
      <c r="U126" s="388"/>
      <c r="V126" s="1"/>
      <c r="Y126" s="458">
        <f>IF(N135="prismático",Q148,Q141)</f>
        <v>11</v>
      </c>
    </row>
    <row r="127" spans="1:28" ht="14.25" customHeight="1" x14ac:dyDescent="0.25">
      <c r="A127" s="1"/>
      <c r="B127" s="13"/>
      <c r="C127" s="60"/>
      <c r="D127" s="60"/>
      <c r="E127" s="60"/>
      <c r="F127" s="60"/>
      <c r="G127" s="61"/>
      <c r="H127" s="1"/>
      <c r="I127" s="65"/>
      <c r="J127" s="42"/>
      <c r="K127" s="590"/>
      <c r="L127" s="590"/>
      <c r="M127" s="69"/>
      <c r="N127" s="69"/>
      <c r="O127" s="28"/>
      <c r="P127" s="28"/>
      <c r="Q127" s="28"/>
      <c r="R127" s="42"/>
      <c r="S127" s="70"/>
      <c r="T127" s="69"/>
      <c r="U127" s="388"/>
      <c r="V127" s="1"/>
    </row>
    <row r="128" spans="1:28" ht="15.75" customHeight="1" thickBot="1" x14ac:dyDescent="0.3">
      <c r="A128" s="1"/>
      <c r="B128" s="13"/>
      <c r="C128" s="60" t="s">
        <v>171</v>
      </c>
      <c r="D128" s="60"/>
      <c r="E128" s="60"/>
      <c r="F128" s="60"/>
      <c r="G128" s="61"/>
      <c r="H128" s="1"/>
      <c r="I128" s="65"/>
      <c r="J128" s="42"/>
      <c r="K128" s="28"/>
      <c r="L128" s="69"/>
      <c r="M128" s="69"/>
      <c r="N128" s="69"/>
      <c r="O128" s="69"/>
      <c r="P128" s="69"/>
      <c r="Q128" s="28"/>
      <c r="R128" s="42"/>
      <c r="S128" s="70"/>
      <c r="T128" s="69"/>
      <c r="U128" s="388"/>
      <c r="V128" s="1"/>
    </row>
    <row r="129" spans="1:33" ht="16.5" customHeight="1" thickBot="1" x14ac:dyDescent="0.3">
      <c r="A129" s="1"/>
      <c r="B129" s="13"/>
      <c r="C129" s="60"/>
      <c r="D129" s="60"/>
      <c r="E129" s="60"/>
      <c r="F129" s="60"/>
      <c r="G129" s="61"/>
      <c r="H129" s="1"/>
      <c r="I129" s="65"/>
      <c r="J129" s="42" t="s">
        <v>33</v>
      </c>
      <c r="K129" s="28" t="s">
        <v>172</v>
      </c>
      <c r="L129" s="69"/>
      <c r="M129" s="69"/>
      <c r="N129" s="69"/>
      <c r="O129" s="69"/>
      <c r="P129" s="391" t="s">
        <v>272</v>
      </c>
      <c r="Q129" s="607"/>
      <c r="R129" s="28" t="s">
        <v>173</v>
      </c>
      <c r="S129" s="139">
        <v>68</v>
      </c>
      <c r="T129" s="28"/>
      <c r="U129" s="388"/>
      <c r="V129" s="1"/>
    </row>
    <row r="130" spans="1:33" ht="15" customHeight="1" x14ac:dyDescent="0.25">
      <c r="A130" s="1"/>
      <c r="B130" s="13"/>
      <c r="C130" s="60" t="s">
        <v>174</v>
      </c>
      <c r="D130" s="60"/>
      <c r="E130" s="60"/>
      <c r="F130" s="60"/>
      <c r="G130" s="61"/>
      <c r="H130" s="1"/>
      <c r="I130" s="65"/>
      <c r="J130" s="42"/>
      <c r="K130" s="28"/>
      <c r="L130" s="69"/>
      <c r="M130" s="69"/>
      <c r="N130" s="69"/>
      <c r="O130" s="69"/>
      <c r="P130" s="69"/>
      <c r="Q130" s="534"/>
      <c r="R130" s="28"/>
      <c r="S130" s="140"/>
      <c r="T130" s="28"/>
      <c r="U130" s="388"/>
      <c r="V130" s="1"/>
      <c r="AB130" s="458" t="s">
        <v>195</v>
      </c>
    </row>
    <row r="131" spans="1:33" ht="16.5" customHeight="1" thickBot="1" x14ac:dyDescent="0.3">
      <c r="A131" s="1"/>
      <c r="B131" s="13"/>
      <c r="C131" s="60"/>
      <c r="D131" s="60"/>
      <c r="E131" s="60"/>
      <c r="F131" s="60"/>
      <c r="G131" s="61"/>
      <c r="H131" s="1"/>
      <c r="I131" s="65"/>
      <c r="J131" s="42"/>
      <c r="K131" s="69"/>
      <c r="L131" s="69"/>
      <c r="M131" s="69"/>
      <c r="N131" s="69"/>
      <c r="O131" s="69"/>
      <c r="P131" s="69"/>
      <c r="Q131" s="28"/>
      <c r="R131" s="69"/>
      <c r="S131" s="69"/>
      <c r="T131" s="69"/>
      <c r="U131" s="388"/>
      <c r="V131" s="1"/>
      <c r="AB131" s="458" t="s">
        <v>198</v>
      </c>
      <c r="AE131" s="458" t="s">
        <v>199</v>
      </c>
      <c r="AG131" s="458" t="s">
        <v>200</v>
      </c>
    </row>
    <row r="132" spans="1:33" ht="17.25" customHeight="1" thickBot="1" x14ac:dyDescent="0.3">
      <c r="A132" s="1"/>
      <c r="B132" s="13"/>
      <c r="C132" s="60" t="s">
        <v>175</v>
      </c>
      <c r="D132" s="60"/>
      <c r="E132" s="60"/>
      <c r="F132" s="15"/>
      <c r="G132" s="16"/>
      <c r="H132" s="1"/>
      <c r="I132" s="65"/>
      <c r="J132" s="42" t="s">
        <v>45</v>
      </c>
      <c r="K132" s="355" t="s">
        <v>176</v>
      </c>
      <c r="L132" s="69"/>
      <c r="M132" s="69"/>
      <c r="N132" s="608" t="s">
        <v>177</v>
      </c>
      <c r="O132" s="608"/>
      <c r="P132" s="28"/>
      <c r="Q132" s="28" t="s">
        <v>263</v>
      </c>
      <c r="R132" s="28"/>
      <c r="S132" s="141">
        <f>S126/S129</f>
        <v>20.588235294117649</v>
      </c>
      <c r="T132" s="69"/>
      <c r="U132" s="388"/>
      <c r="V132" s="1"/>
      <c r="AB132" s="458">
        <f>S132</f>
        <v>20.588235294117649</v>
      </c>
      <c r="AE132" s="469">
        <f>R142</f>
        <v>0</v>
      </c>
      <c r="AG132" s="458" t="e">
        <f>(AB132-AE132)/(3.1416*R141)</f>
        <v>#DIV/0!</v>
      </c>
    </row>
    <row r="133" spans="1:33" ht="19.5" customHeight="1" x14ac:dyDescent="0.25">
      <c r="A133" s="1"/>
      <c r="B133" s="13"/>
      <c r="C133" s="60" t="s">
        <v>179</v>
      </c>
      <c r="D133" s="15"/>
      <c r="E133" s="15"/>
      <c r="F133" s="15"/>
      <c r="G133" s="16"/>
      <c r="H133" s="1"/>
      <c r="I133" s="17"/>
      <c r="J133" s="42"/>
      <c r="K133" s="355"/>
      <c r="L133" s="69"/>
      <c r="M133" s="69"/>
      <c r="N133" s="69"/>
      <c r="O133" s="608"/>
      <c r="P133" s="28"/>
      <c r="Q133" s="28"/>
      <c r="R133" s="28"/>
      <c r="S133" s="389"/>
      <c r="T133" s="69"/>
      <c r="U133" s="388"/>
      <c r="V133" s="1"/>
    </row>
    <row r="134" spans="1:33" ht="15.75" thickBot="1" x14ac:dyDescent="0.3">
      <c r="A134" s="1"/>
      <c r="B134" s="13"/>
      <c r="C134" s="15"/>
      <c r="D134" s="15"/>
      <c r="E134" s="15"/>
      <c r="F134" s="15"/>
      <c r="G134" s="16"/>
      <c r="H134" s="1"/>
      <c r="I134" s="17"/>
      <c r="J134" s="42"/>
      <c r="K134" s="355"/>
      <c r="L134" s="69"/>
      <c r="M134" s="69"/>
      <c r="N134" s="69"/>
      <c r="O134" s="608"/>
      <c r="P134" s="28"/>
      <c r="Q134" s="28"/>
      <c r="R134" s="28"/>
      <c r="S134" s="389"/>
      <c r="T134" s="69"/>
      <c r="U134" s="388"/>
      <c r="V134" s="1"/>
      <c r="AB134" s="458" t="s">
        <v>204</v>
      </c>
    </row>
    <row r="135" spans="1:33" ht="18" customHeight="1" thickBot="1" x14ac:dyDescent="0.3">
      <c r="A135" s="1"/>
      <c r="B135" s="13"/>
      <c r="C135" s="15" t="s">
        <v>182</v>
      </c>
      <c r="D135" s="15"/>
      <c r="E135" s="15"/>
      <c r="F135" s="15"/>
      <c r="G135" s="16"/>
      <c r="H135" s="1"/>
      <c r="I135" s="17"/>
      <c r="J135" s="42" t="s">
        <v>56</v>
      </c>
      <c r="K135" s="671" t="s">
        <v>183</v>
      </c>
      <c r="L135" s="671"/>
      <c r="M135" s="671"/>
      <c r="N135" s="673" t="s">
        <v>95</v>
      </c>
      <c r="O135" s="674"/>
      <c r="P135" s="391" t="s">
        <v>265</v>
      </c>
      <c r="Q135" s="28"/>
      <c r="R135" s="28"/>
      <c r="S135" s="389"/>
      <c r="T135" s="69"/>
      <c r="U135" s="388"/>
      <c r="V135" s="1"/>
      <c r="AB135" s="458" t="s">
        <v>206</v>
      </c>
      <c r="AE135" s="458" t="s">
        <v>199</v>
      </c>
    </row>
    <row r="136" spans="1:33" ht="17.25" customHeight="1" x14ac:dyDescent="0.25">
      <c r="A136" s="1"/>
      <c r="B136" s="13"/>
      <c r="C136" s="60" t="s">
        <v>184</v>
      </c>
      <c r="D136" s="15"/>
      <c r="E136" s="15"/>
      <c r="F136" s="15"/>
      <c r="G136" s="16"/>
      <c r="H136" s="1"/>
      <c r="I136" s="17"/>
      <c r="J136" s="42"/>
      <c r="K136" s="28"/>
      <c r="L136" s="28"/>
      <c r="M136" s="28"/>
      <c r="N136" s="527"/>
      <c r="O136" s="527"/>
      <c r="P136" s="609"/>
      <c r="Q136" s="28"/>
      <c r="R136" s="28"/>
      <c r="S136" s="389"/>
      <c r="T136" s="69"/>
      <c r="U136" s="388"/>
      <c r="V136" s="1"/>
      <c r="AB136" s="469" t="str">
        <f>S141</f>
        <v>A infilt.(m²)</v>
      </c>
      <c r="AE136" s="469">
        <f>S142</f>
        <v>311.25</v>
      </c>
    </row>
    <row r="137" spans="1:33" ht="15.75" customHeight="1" thickBot="1" x14ac:dyDescent="0.3">
      <c r="A137" s="1"/>
      <c r="B137" s="13"/>
      <c r="C137" s="15"/>
      <c r="D137" s="15"/>
      <c r="E137" s="15"/>
      <c r="F137" s="15"/>
      <c r="G137" s="16"/>
      <c r="H137" s="1"/>
      <c r="I137" s="17"/>
      <c r="J137" s="42"/>
      <c r="K137" s="609"/>
      <c r="L137" s="69"/>
      <c r="M137" s="69"/>
      <c r="N137" s="69"/>
      <c r="O137" s="69"/>
      <c r="P137" s="69"/>
      <c r="Q137" s="28"/>
      <c r="R137" s="69"/>
      <c r="S137" s="69"/>
      <c r="T137" s="69"/>
      <c r="U137" s="388"/>
      <c r="V137" s="1"/>
      <c r="AB137" s="469"/>
      <c r="AE137" s="469"/>
    </row>
    <row r="138" spans="1:33" ht="15" customHeight="1" thickBot="1" x14ac:dyDescent="0.3">
      <c r="A138" s="1"/>
      <c r="B138" s="13"/>
      <c r="C138" s="84" t="s">
        <v>185</v>
      </c>
      <c r="D138" s="60"/>
      <c r="E138" s="60"/>
      <c r="F138" s="60"/>
      <c r="G138" s="16"/>
      <c r="H138" s="1"/>
      <c r="I138" s="17"/>
      <c r="J138" s="42" t="s">
        <v>66</v>
      </c>
      <c r="K138" s="28" t="s">
        <v>186</v>
      </c>
      <c r="L138" s="69"/>
      <c r="M138" s="69"/>
      <c r="N138" s="69"/>
      <c r="O138" s="400" t="s">
        <v>118</v>
      </c>
      <c r="P138" s="72" t="s">
        <v>119</v>
      </c>
      <c r="Q138" s="142" t="s">
        <v>187</v>
      </c>
      <c r="R138" s="72" t="s">
        <v>188</v>
      </c>
      <c r="S138" s="143" t="s">
        <v>189</v>
      </c>
      <c r="T138" s="69"/>
      <c r="U138" s="388"/>
      <c r="V138" s="1"/>
      <c r="AB138" s="458" t="s">
        <v>209</v>
      </c>
      <c r="AE138" s="458" t="s">
        <v>210</v>
      </c>
    </row>
    <row r="139" spans="1:33" ht="16.5" customHeight="1" thickBot="1" x14ac:dyDescent="0.3">
      <c r="A139" s="1"/>
      <c r="B139" s="13"/>
      <c r="C139" s="84" t="s">
        <v>190</v>
      </c>
      <c r="D139" s="60"/>
      <c r="E139" s="60"/>
      <c r="F139" s="60"/>
      <c r="G139" s="16"/>
      <c r="H139" s="1"/>
      <c r="I139" s="17"/>
      <c r="J139" s="42"/>
      <c r="K139" s="28"/>
      <c r="L139" s="69"/>
      <c r="M139" s="391" t="s">
        <v>274</v>
      </c>
      <c r="N139" s="69"/>
      <c r="O139" s="73">
        <v>3</v>
      </c>
      <c r="P139" s="144">
        <v>1.9</v>
      </c>
      <c r="Q139" s="502">
        <f>((3.1416*P139*P139)/4)</f>
        <v>2.8352939999999998</v>
      </c>
      <c r="R139" s="503">
        <f>3.1416*P139*O139</f>
        <v>17.907119999999999</v>
      </c>
      <c r="S139" s="626">
        <f>W140</f>
        <v>20.75</v>
      </c>
      <c r="T139" s="69"/>
      <c r="U139" s="388"/>
      <c r="V139" s="1"/>
      <c r="W139" s="633">
        <f>Q139+R139</f>
        <v>20.742414</v>
      </c>
      <c r="AB139" s="458" t="e">
        <f>#REF!</f>
        <v>#REF!</v>
      </c>
      <c r="AE139" s="458" t="e">
        <f>3.1416*S141*#REF!</f>
        <v>#VALUE!</v>
      </c>
    </row>
    <row r="140" spans="1:33" ht="15" customHeight="1" thickBot="1" x14ac:dyDescent="0.3">
      <c r="A140" s="1"/>
      <c r="B140" s="13"/>
      <c r="C140" s="84" t="s">
        <v>191</v>
      </c>
      <c r="D140" s="60"/>
      <c r="E140" s="60"/>
      <c r="F140" s="60"/>
      <c r="G140" s="16"/>
      <c r="H140" s="1"/>
      <c r="I140" s="17"/>
      <c r="J140" s="42"/>
      <c r="K140" s="69"/>
      <c r="L140" s="69"/>
      <c r="M140" s="69"/>
      <c r="N140" s="69"/>
      <c r="O140" s="69"/>
      <c r="P140" s="69"/>
      <c r="Q140" s="42"/>
      <c r="R140" s="616"/>
      <c r="S140" s="615"/>
      <c r="T140" s="69"/>
      <c r="U140" s="388"/>
      <c r="V140" s="1"/>
      <c r="W140" s="633">
        <f>ROUNDUP(W139,2)</f>
        <v>20.75</v>
      </c>
    </row>
    <row r="141" spans="1:33" ht="16.5" customHeight="1" thickBot="1" x14ac:dyDescent="0.3">
      <c r="A141" s="1"/>
      <c r="B141" s="13"/>
      <c r="C141" s="60"/>
      <c r="D141" s="60"/>
      <c r="E141" s="60"/>
      <c r="F141" s="60"/>
      <c r="G141" s="16"/>
      <c r="H141" s="1"/>
      <c r="I141" s="17"/>
      <c r="J141" s="42"/>
      <c r="K141" s="28" t="s">
        <v>202</v>
      </c>
      <c r="L141" s="69"/>
      <c r="M141" s="69"/>
      <c r="N141" s="146" t="s">
        <v>97</v>
      </c>
      <c r="O141" s="69"/>
      <c r="P141" s="28" t="s">
        <v>192</v>
      </c>
      <c r="Q141" s="146">
        <v>15</v>
      </c>
      <c r="R141" s="28"/>
      <c r="S141" s="143" t="s">
        <v>189</v>
      </c>
      <c r="T141" s="69"/>
      <c r="U141" s="388"/>
      <c r="V141" s="1"/>
      <c r="W141" s="634">
        <f>W140*Q141</f>
        <v>311.25</v>
      </c>
    </row>
    <row r="142" spans="1:33" ht="15.75" thickBot="1" x14ac:dyDescent="0.3">
      <c r="A142" s="1"/>
      <c r="B142" s="13"/>
      <c r="C142" s="84" t="s">
        <v>193</v>
      </c>
      <c r="D142" s="60"/>
      <c r="E142" s="60"/>
      <c r="F142" s="60"/>
      <c r="G142" s="16"/>
      <c r="H142" s="1"/>
      <c r="I142" s="17"/>
      <c r="J142" s="42"/>
      <c r="K142" s="28" t="s">
        <v>273</v>
      </c>
      <c r="L142" s="69"/>
      <c r="M142" s="69"/>
      <c r="N142" s="391" t="s">
        <v>262</v>
      </c>
      <c r="O142" s="69"/>
      <c r="P142" s="602"/>
      <c r="Q142" s="392" t="s">
        <v>271</v>
      </c>
      <c r="R142" s="611"/>
      <c r="S142" s="145">
        <f>W141</f>
        <v>311.25</v>
      </c>
      <c r="T142" s="69"/>
      <c r="U142" s="388"/>
      <c r="V142" s="1"/>
      <c r="AB142" s="458" t="s">
        <v>211</v>
      </c>
    </row>
    <row r="143" spans="1:33" ht="17.25" customHeight="1" x14ac:dyDescent="0.25">
      <c r="A143" s="1"/>
      <c r="B143" s="13"/>
      <c r="C143" s="60" t="s">
        <v>194</v>
      </c>
      <c r="D143" s="60"/>
      <c r="E143" s="60"/>
      <c r="F143" s="60"/>
      <c r="G143" s="16"/>
      <c r="H143" s="1"/>
      <c r="I143" s="17"/>
      <c r="J143" s="42"/>
      <c r="K143" s="69"/>
      <c r="L143" s="69"/>
      <c r="M143" s="69"/>
      <c r="N143" s="69"/>
      <c r="O143" s="69"/>
      <c r="P143" s="602"/>
      <c r="Q143" s="610"/>
      <c r="R143" s="611"/>
      <c r="S143" s="611"/>
      <c r="T143" s="69"/>
      <c r="U143" s="388"/>
      <c r="V143" s="1"/>
    </row>
    <row r="144" spans="1:33" ht="18" customHeight="1" thickBot="1" x14ac:dyDescent="0.3">
      <c r="A144" s="1"/>
      <c r="B144" s="13"/>
      <c r="C144" s="15"/>
      <c r="D144" s="15"/>
      <c r="E144" s="15"/>
      <c r="F144" s="15"/>
      <c r="G144" s="16"/>
      <c r="H144" s="1"/>
      <c r="I144" s="17"/>
      <c r="J144" s="42"/>
      <c r="K144" s="69"/>
      <c r="L144" s="28"/>
      <c r="M144" s="28"/>
      <c r="N144" s="28"/>
      <c r="O144" s="602"/>
      <c r="P144" s="602"/>
      <c r="Q144" s="610"/>
      <c r="R144" s="611"/>
      <c r="S144" s="611"/>
      <c r="T144" s="527"/>
      <c r="U144" s="388"/>
      <c r="V144" s="1"/>
      <c r="AB144" s="458" t="s">
        <v>212</v>
      </c>
      <c r="AE144" s="458" t="s">
        <v>213</v>
      </c>
    </row>
    <row r="145" spans="1:33" ht="15.75" thickBot="1" x14ac:dyDescent="0.3">
      <c r="A145" s="1"/>
      <c r="B145" s="13"/>
      <c r="C145" s="122" t="s">
        <v>196</v>
      </c>
      <c r="D145" s="121"/>
      <c r="E145" s="121"/>
      <c r="F145" s="121"/>
      <c r="G145" s="16"/>
      <c r="H145" s="1"/>
      <c r="I145" s="17"/>
      <c r="J145" s="42" t="s">
        <v>66</v>
      </c>
      <c r="K145" s="28" t="s">
        <v>197</v>
      </c>
      <c r="L145" s="69"/>
      <c r="M145" s="69"/>
      <c r="N145" s="400" t="s">
        <v>118</v>
      </c>
      <c r="O145" s="72" t="s">
        <v>129</v>
      </c>
      <c r="P145" s="401" t="s">
        <v>130</v>
      </c>
      <c r="Q145" s="142" t="s">
        <v>187</v>
      </c>
      <c r="R145" s="72" t="s">
        <v>188</v>
      </c>
      <c r="S145" s="143" t="s">
        <v>189</v>
      </c>
      <c r="T145" s="527"/>
      <c r="U145" s="388"/>
      <c r="V145" s="1"/>
      <c r="AB145" s="458" t="e">
        <f>3.1416*#REF!*#REF!/4</f>
        <v>#REF!</v>
      </c>
      <c r="AE145" s="458" t="e">
        <f>3.1416*#REF!*#REF!</f>
        <v>#REF!</v>
      </c>
      <c r="AG145" s="458" t="e">
        <f>AB145+AE145</f>
        <v>#REF!</v>
      </c>
    </row>
    <row r="146" spans="1:33" ht="15.75" thickBot="1" x14ac:dyDescent="0.3">
      <c r="A146" s="1"/>
      <c r="B146" s="13"/>
      <c r="C146" s="122"/>
      <c r="D146" s="122"/>
      <c r="E146" s="122"/>
      <c r="F146" s="121"/>
      <c r="G146" s="16"/>
      <c r="H146" s="1"/>
      <c r="I146" s="17"/>
      <c r="J146" s="42"/>
      <c r="K146" s="69"/>
      <c r="L146" s="391" t="s">
        <v>270</v>
      </c>
      <c r="M146" s="69"/>
      <c r="N146" s="73">
        <v>1.5</v>
      </c>
      <c r="O146" s="144">
        <v>1.1499999999999999</v>
      </c>
      <c r="P146" s="78">
        <v>3.09</v>
      </c>
      <c r="Q146" s="500">
        <f>O146*P146</f>
        <v>3.5534999999999997</v>
      </c>
      <c r="R146" s="498">
        <f>((P146*N146)*2)+((N146*O146)*2)</f>
        <v>12.719999999999999</v>
      </c>
      <c r="S146" s="501">
        <f>W147</f>
        <v>16.28</v>
      </c>
      <c r="T146" s="527"/>
      <c r="U146" s="388"/>
      <c r="V146" s="1"/>
      <c r="W146" s="633">
        <f>Q146+R146</f>
        <v>16.273499999999999</v>
      </c>
    </row>
    <row r="147" spans="1:33" ht="15.75" thickBot="1" x14ac:dyDescent="0.3">
      <c r="A147" s="1"/>
      <c r="B147" s="13"/>
      <c r="C147" s="122" t="s">
        <v>201</v>
      </c>
      <c r="D147" s="121"/>
      <c r="E147" s="121"/>
      <c r="F147" s="121"/>
      <c r="G147" s="16"/>
      <c r="H147" s="1"/>
      <c r="I147" s="17"/>
      <c r="J147" s="42"/>
      <c r="K147" s="69"/>
      <c r="L147" s="69"/>
      <c r="M147" s="69"/>
      <c r="N147" s="612"/>
      <c r="O147" s="420"/>
      <c r="P147" s="420"/>
      <c r="Q147" s="613"/>
      <c r="R147" s="614"/>
      <c r="S147" s="615"/>
      <c r="T147" s="527"/>
      <c r="U147" s="388"/>
      <c r="V147" s="1"/>
      <c r="W147" s="633">
        <f>ROUNDUP(W146,2)</f>
        <v>16.28</v>
      </c>
    </row>
    <row r="148" spans="1:33" ht="15.75" thickBot="1" x14ac:dyDescent="0.3">
      <c r="A148" s="1"/>
      <c r="B148" s="13"/>
      <c r="C148" s="122"/>
      <c r="D148" s="122"/>
      <c r="E148" s="122"/>
      <c r="F148" s="121"/>
      <c r="G148" s="16"/>
      <c r="H148" s="1"/>
      <c r="I148" s="17"/>
      <c r="J148" s="42"/>
      <c r="K148" s="28" t="s">
        <v>202</v>
      </c>
      <c r="L148" s="28"/>
      <c r="M148" s="28"/>
      <c r="N148" s="146" t="s">
        <v>94</v>
      </c>
      <c r="O148" s="69"/>
      <c r="P148" s="28" t="s">
        <v>203</v>
      </c>
      <c r="Q148" s="146">
        <v>11</v>
      </c>
      <c r="R148" s="28"/>
      <c r="S148" s="143" t="s">
        <v>189</v>
      </c>
      <c r="T148" s="527"/>
      <c r="U148" s="388"/>
      <c r="V148" s="1"/>
      <c r="W148" s="634">
        <f>W147*Q148</f>
        <v>179.08</v>
      </c>
    </row>
    <row r="149" spans="1:33" ht="15.75" thickBot="1" x14ac:dyDescent="0.3">
      <c r="A149" s="1"/>
      <c r="B149" s="13"/>
      <c r="C149" s="122"/>
      <c r="D149" s="121"/>
      <c r="E149" s="121"/>
      <c r="F149" s="121"/>
      <c r="G149" s="16"/>
      <c r="H149" s="1"/>
      <c r="I149" s="17"/>
      <c r="J149" s="42"/>
      <c r="K149" s="28" t="s">
        <v>205</v>
      </c>
      <c r="L149" s="69"/>
      <c r="M149" s="69"/>
      <c r="N149" s="391" t="s">
        <v>262</v>
      </c>
      <c r="O149" s="69"/>
      <c r="P149" s="391" t="s">
        <v>270</v>
      </c>
      <c r="Q149" s="610"/>
      <c r="R149" s="611"/>
      <c r="S149" s="499">
        <f>W148</f>
        <v>179.08</v>
      </c>
      <c r="T149" s="527"/>
      <c r="U149" s="388"/>
      <c r="V149" s="1"/>
    </row>
    <row r="150" spans="1:33" ht="18.75" customHeight="1" thickBot="1" x14ac:dyDescent="0.3">
      <c r="A150" s="1"/>
      <c r="B150" s="13"/>
      <c r="C150" s="121"/>
      <c r="D150" s="121"/>
      <c r="E150" s="121"/>
      <c r="F150" s="121"/>
      <c r="G150" s="16"/>
      <c r="H150" s="1"/>
      <c r="I150" s="17"/>
      <c r="J150" s="42"/>
      <c r="K150" s="69"/>
      <c r="L150" s="69"/>
      <c r="M150" s="69"/>
      <c r="N150" s="69"/>
      <c r="O150" s="69"/>
      <c r="P150" s="602"/>
      <c r="Q150" s="610"/>
      <c r="R150" s="611"/>
      <c r="S150" s="611"/>
      <c r="T150" s="527"/>
      <c r="U150" s="388"/>
      <c r="V150" s="1"/>
      <c r="AB150" s="493" t="s">
        <v>215</v>
      </c>
    </row>
    <row r="151" spans="1:33" ht="15.75" thickBot="1" x14ac:dyDescent="0.3">
      <c r="A151" s="1"/>
      <c r="B151" s="13"/>
      <c r="C151" s="15"/>
      <c r="D151" s="121"/>
      <c r="E151" s="121"/>
      <c r="F151" s="121"/>
      <c r="G151" s="16"/>
      <c r="H151" s="1"/>
      <c r="I151" s="17"/>
      <c r="J151" s="42" t="s">
        <v>207</v>
      </c>
      <c r="K151" s="28" t="s">
        <v>208</v>
      </c>
      <c r="L151" s="69"/>
      <c r="M151" s="69"/>
      <c r="N151" s="69"/>
      <c r="O151" s="69"/>
      <c r="P151" s="675" t="s">
        <v>180</v>
      </c>
      <c r="Q151" s="676"/>
      <c r="R151" s="391" t="s">
        <v>266</v>
      </c>
      <c r="S151" s="611"/>
      <c r="T151" s="527"/>
      <c r="U151" s="388"/>
      <c r="V151" s="1"/>
      <c r="AB151" s="493" t="s">
        <v>136</v>
      </c>
    </row>
    <row r="152" spans="1:33" ht="15.75" thickBot="1" x14ac:dyDescent="0.3">
      <c r="A152" s="1"/>
      <c r="B152" s="13"/>
      <c r="C152" s="121"/>
      <c r="D152" s="121"/>
      <c r="E152" s="121"/>
      <c r="F152" s="121"/>
      <c r="G152" s="16"/>
      <c r="H152" s="1"/>
      <c r="I152" s="17"/>
      <c r="J152" s="42"/>
      <c r="K152" s="69"/>
      <c r="L152" s="69"/>
      <c r="M152" s="69"/>
      <c r="N152" s="69"/>
      <c r="O152" s="602"/>
      <c r="P152" s="617"/>
      <c r="Q152" s="617"/>
      <c r="R152" s="602"/>
      <c r="S152" s="618"/>
      <c r="T152" s="527"/>
      <c r="U152" s="388"/>
      <c r="V152" s="1"/>
      <c r="W152" s="462"/>
    </row>
    <row r="153" spans="1:33" ht="15.75" thickBot="1" x14ac:dyDescent="0.3">
      <c r="A153" s="1"/>
      <c r="B153" s="13"/>
      <c r="C153" s="121"/>
      <c r="D153" s="121"/>
      <c r="E153" s="121"/>
      <c r="F153" s="121"/>
      <c r="G153" s="16"/>
      <c r="H153" s="1"/>
      <c r="I153" s="17"/>
      <c r="J153" s="42"/>
      <c r="K153" s="69"/>
      <c r="L153" s="69"/>
      <c r="M153" s="665" t="s">
        <v>111</v>
      </c>
      <c r="N153" s="666"/>
      <c r="O153" s="657" t="s">
        <v>112</v>
      </c>
      <c r="P153" s="658"/>
      <c r="Q153" s="667" t="s">
        <v>52</v>
      </c>
      <c r="R153" s="659" t="s">
        <v>140</v>
      </c>
      <c r="S153" s="618"/>
      <c r="T153" s="527"/>
      <c r="U153" s="388"/>
      <c r="V153" s="1"/>
    </row>
    <row r="154" spans="1:33" ht="15.75" thickBot="1" x14ac:dyDescent="0.3">
      <c r="A154" s="1"/>
      <c r="B154" s="147"/>
      <c r="C154" s="122"/>
      <c r="D154" s="122"/>
      <c r="E154" s="122"/>
      <c r="F154" s="122"/>
      <c r="G154" s="16"/>
      <c r="H154" s="1"/>
      <c r="I154" s="17"/>
      <c r="J154" s="42"/>
      <c r="K154" s="69"/>
      <c r="L154" s="69"/>
      <c r="M154" s="668"/>
      <c r="N154" s="669"/>
      <c r="O154" s="87" t="s">
        <v>114</v>
      </c>
      <c r="P154" s="88" t="s">
        <v>115</v>
      </c>
      <c r="Q154" s="670"/>
      <c r="R154" s="660"/>
      <c r="S154" s="591"/>
      <c r="T154" s="527"/>
      <c r="U154" s="388"/>
      <c r="V154" s="1"/>
      <c r="AB154" s="469" t="e">
        <f>#REF!</f>
        <v>#REF!</v>
      </c>
    </row>
    <row r="155" spans="1:33" ht="19.5" thickBot="1" x14ac:dyDescent="0.35">
      <c r="A155" s="1"/>
      <c r="B155" s="13"/>
      <c r="C155" s="122"/>
      <c r="D155" s="117"/>
      <c r="E155" s="60"/>
      <c r="F155" s="60"/>
      <c r="G155" s="16"/>
      <c r="H155" s="1"/>
      <c r="I155" s="17"/>
      <c r="J155" s="42"/>
      <c r="K155" s="69"/>
      <c r="L155" s="621"/>
      <c r="M155" s="89" t="s">
        <v>143</v>
      </c>
      <c r="N155" s="90"/>
      <c r="O155" s="123" t="str">
        <f>IF(N121="sumidouro",IF(N135="cilíndrico",0.3,"----"),"----")</f>
        <v>----</v>
      </c>
      <c r="P155" s="148" t="s">
        <v>144</v>
      </c>
      <c r="Q155" s="93" t="str">
        <f>IF(N121="sumidouro",IF($N$135="cilíndrico",P139,"----"),"----")</f>
        <v>----</v>
      </c>
      <c r="R155" s="149" t="str">
        <f>IF($N$135="cilíndrico",IF(P139 &gt;=0.3,"Atende","Não Atende"),"----")</f>
        <v>----</v>
      </c>
      <c r="S155" s="591"/>
      <c r="T155" s="527"/>
      <c r="U155" s="388"/>
      <c r="V155" s="1"/>
    </row>
    <row r="156" spans="1:33" ht="19.5" thickBot="1" x14ac:dyDescent="0.35">
      <c r="A156" s="1"/>
      <c r="B156" s="13"/>
      <c r="C156" s="117"/>
      <c r="D156" s="117"/>
      <c r="E156" s="60"/>
      <c r="F156" s="15"/>
      <c r="G156" s="16"/>
      <c r="H156" s="1"/>
      <c r="I156" s="17"/>
      <c r="J156" s="42"/>
      <c r="K156" s="69"/>
      <c r="L156" s="513"/>
      <c r="M156" s="97" t="s">
        <v>146</v>
      </c>
      <c r="N156" s="98"/>
      <c r="O156" s="123" t="str">
        <f>IF(N121="sumidouro",IF(N135="cilíndrico","----",0.6),"----")</f>
        <v>----</v>
      </c>
      <c r="P156" s="123" t="str">
        <f>IF(N121="sumidouro",IF(N135="cilíndrico","----",1.5),"----")</f>
        <v>----</v>
      </c>
      <c r="Q156" s="153" t="str">
        <f>IF(N121="sumidouro",IF($N$135="prismático",O146,"----"),"----")</f>
        <v>----</v>
      </c>
      <c r="R156" s="101" t="str">
        <f>IF($N$135="prismático",IF(AND(Q156&lt;=P156,Q156&gt;=O156),"Atende","Não Atende"),"----")</f>
        <v>Atende</v>
      </c>
      <c r="S156" s="151" t="str">
        <f>IF(R156="----","  ","*")</f>
        <v>*</v>
      </c>
      <c r="T156" s="527"/>
      <c r="U156" s="388"/>
      <c r="V156" s="1"/>
    </row>
    <row r="157" spans="1:33" ht="19.5" thickBot="1" x14ac:dyDescent="0.35">
      <c r="A157" s="1"/>
      <c r="B157" s="13"/>
      <c r="C157" s="117"/>
      <c r="D157" s="117"/>
      <c r="E157" s="60"/>
      <c r="F157" s="15"/>
      <c r="G157" s="16"/>
      <c r="H157" s="1"/>
      <c r="I157" s="17"/>
      <c r="J157" s="42"/>
      <c r="K157" s="69"/>
      <c r="L157" s="621"/>
      <c r="M157" s="89" t="s">
        <v>148</v>
      </c>
      <c r="N157" s="90"/>
      <c r="O157" s="125" t="s">
        <v>144</v>
      </c>
      <c r="P157" s="152" t="s">
        <v>144</v>
      </c>
      <c r="Q157" s="153" t="str">
        <f>IF(N121="sumidouro",IF($N$135="cilíndrico",O139,N146),"----")</f>
        <v>----</v>
      </c>
      <c r="R157" s="94" t="str">
        <f>IF($N$135="cilíndrico","----","----")</f>
        <v>----</v>
      </c>
      <c r="S157" s="591"/>
      <c r="T157" s="527"/>
      <c r="U157" s="388"/>
      <c r="V157" s="1"/>
      <c r="Z157" s="458">
        <f>S191/S189</f>
        <v>0.5</v>
      </c>
      <c r="AB157" s="469" t="e">
        <f>#REF!*#REF!</f>
        <v>#REF!</v>
      </c>
    </row>
    <row r="158" spans="1:33" ht="16.5" customHeight="1" thickBot="1" x14ac:dyDescent="0.35">
      <c r="A158" s="1"/>
      <c r="B158" s="13"/>
      <c r="C158" s="117"/>
      <c r="D158" s="117"/>
      <c r="E158" s="60"/>
      <c r="F158" s="15"/>
      <c r="G158" s="16"/>
      <c r="H158" s="1"/>
      <c r="I158" s="17"/>
      <c r="J158" s="42"/>
      <c r="K158" s="69"/>
      <c r="L158" s="513"/>
      <c r="M158" s="97" t="s">
        <v>150</v>
      </c>
      <c r="N158" s="98"/>
      <c r="O158" s="104" t="s">
        <v>144</v>
      </c>
      <c r="P158" s="123" t="str">
        <f>IF(N121="sumidouro",IF(N135="cilíndrico","----",30),"----")</f>
        <v>----</v>
      </c>
      <c r="Q158" s="153" t="str">
        <f>IF(N121="sumidouro",IF($N$135="prismático",P146,"----"),"----")</f>
        <v>----</v>
      </c>
      <c r="R158" s="101" t="str">
        <f>IF($N$135="prismático",IF(P146&lt;=30,"Atende","Não Atende"),"----")</f>
        <v>Atende</v>
      </c>
      <c r="S158" s="151" t="str">
        <f>IF(R158="----","  ","*")</f>
        <v>*</v>
      </c>
      <c r="T158" s="527"/>
      <c r="U158" s="388"/>
      <c r="V158" s="1"/>
    </row>
    <row r="159" spans="1:33" ht="19.5" thickBot="1" x14ac:dyDescent="0.35">
      <c r="A159" s="1"/>
      <c r="B159" s="13"/>
      <c r="C159" s="117"/>
      <c r="D159" s="117"/>
      <c r="E159" s="60"/>
      <c r="F159" s="15"/>
      <c r="G159" s="16"/>
      <c r="H159" s="1"/>
      <c r="I159" s="17"/>
      <c r="J159" s="28"/>
      <c r="K159" s="28"/>
      <c r="L159" s="621"/>
      <c r="M159" s="110" t="s">
        <v>214</v>
      </c>
      <c r="N159" s="111"/>
      <c r="O159" s="123" t="str">
        <f>IF(N121="sumidouro",S132,"----")</f>
        <v>----</v>
      </c>
      <c r="P159" s="154" t="s">
        <v>144</v>
      </c>
      <c r="Q159" s="155" t="str">
        <f>IF(N121="sumidouro",IF(N135="cilíndrico",IF(N141="sim",S142,S139),IF(N148="sim",S149,S146)),"----")</f>
        <v>----</v>
      </c>
      <c r="R159" s="94" t="str">
        <f>IF(Q159&gt;=O159,"Atende","Não atende")</f>
        <v>Atende</v>
      </c>
      <c r="S159" s="618"/>
      <c r="T159" s="527"/>
      <c r="U159" s="388"/>
      <c r="V159" s="1"/>
    </row>
    <row r="160" spans="1:33" ht="18.75" x14ac:dyDescent="0.3">
      <c r="A160" s="1"/>
      <c r="B160" s="13"/>
      <c r="C160" s="117"/>
      <c r="D160" s="117"/>
      <c r="E160" s="60"/>
      <c r="F160" s="15"/>
      <c r="G160" s="16"/>
      <c r="H160" s="1"/>
      <c r="I160" s="17"/>
      <c r="J160" s="28"/>
      <c r="K160" s="28"/>
      <c r="L160" s="69"/>
      <c r="M160" s="156" t="str">
        <f>IF(N121="sumidouro",IF(N135="prismático","* Referência:   Tratamento de Esgotos Domésticos,   Eduardo Pacheco Jordão,","   "),"   ")</f>
        <v xml:space="preserve">   </v>
      </c>
      <c r="N160" s="28"/>
      <c r="O160" s="355"/>
      <c r="P160" s="617"/>
      <c r="Q160" s="617"/>
      <c r="R160" s="602"/>
      <c r="S160" s="618"/>
      <c r="T160" s="527"/>
      <c r="U160" s="388"/>
      <c r="V160" s="1"/>
    </row>
    <row r="161" spans="1:33" ht="14.25" customHeight="1" x14ac:dyDescent="0.3">
      <c r="A161" s="1"/>
      <c r="B161" s="13"/>
      <c r="C161" s="117"/>
      <c r="D161" s="117"/>
      <c r="E161" s="60"/>
      <c r="F161" s="15"/>
      <c r="G161" s="16"/>
      <c r="H161" s="1"/>
      <c r="I161" s="17"/>
      <c r="J161" s="28"/>
      <c r="K161" s="28"/>
      <c r="L161" s="69"/>
      <c r="M161" s="156" t="str">
        <f>IF(N121="sumidouro",IF(N135="prismático","Constantino Arruda Pacheco","   "),"   ")</f>
        <v xml:space="preserve">   </v>
      </c>
      <c r="N161" s="28"/>
      <c r="O161" s="355"/>
      <c r="P161" s="617"/>
      <c r="Q161" s="617"/>
      <c r="R161" s="602"/>
      <c r="S161" s="618"/>
      <c r="T161" s="527"/>
      <c r="U161" s="388"/>
      <c r="V161" s="1"/>
      <c r="AB161" s="458" t="e">
        <f>IF(#REF!="2:1",#REF!*3,#REF!*2)</f>
        <v>#REF!</v>
      </c>
    </row>
    <row r="162" spans="1:33" ht="17.25" customHeight="1" thickBot="1" x14ac:dyDescent="0.35">
      <c r="A162" s="1"/>
      <c r="B162" s="50"/>
      <c r="C162" s="157"/>
      <c r="D162" s="157"/>
      <c r="E162" s="98"/>
      <c r="F162" s="113"/>
      <c r="G162" s="114"/>
      <c r="H162" s="1"/>
      <c r="I162" s="115"/>
      <c r="J162" s="417"/>
      <c r="K162" s="417"/>
      <c r="L162" s="416"/>
      <c r="M162" s="158"/>
      <c r="N162" s="416"/>
      <c r="O162" s="423"/>
      <c r="P162" s="423"/>
      <c r="Q162" s="417"/>
      <c r="R162" s="619"/>
      <c r="S162" s="619"/>
      <c r="T162" s="620"/>
      <c r="U162" s="418"/>
      <c r="V162" s="1"/>
    </row>
    <row r="163" spans="1:33" ht="21" customHeight="1" thickBot="1" x14ac:dyDescent="0.3">
      <c r="A163" s="1"/>
      <c r="B163" s="1"/>
      <c r="C163" s="2"/>
      <c r="D163" s="2"/>
      <c r="E163" s="2"/>
      <c r="F163" s="1"/>
      <c r="G163" s="1"/>
      <c r="H163" s="1"/>
      <c r="I163" s="1"/>
      <c r="J163" s="2"/>
      <c r="K163" s="2"/>
      <c r="L163" s="1"/>
      <c r="M163" s="1"/>
      <c r="N163" s="1"/>
      <c r="O163" s="1"/>
      <c r="P163" s="1"/>
      <c r="Q163" s="2"/>
      <c r="R163" s="1"/>
      <c r="S163" s="1"/>
      <c r="T163" s="1"/>
      <c r="U163" s="1"/>
      <c r="V163" s="1"/>
      <c r="AB163" s="469" t="e">
        <f>(2*(#REF!*#REF!))+((S188*#REF!))</f>
        <v>#REF!</v>
      </c>
    </row>
    <row r="164" spans="1:33" ht="13.5" customHeight="1" x14ac:dyDescent="0.25">
      <c r="A164" s="1"/>
      <c r="B164" s="7"/>
      <c r="C164" s="10"/>
      <c r="D164" s="10"/>
      <c r="E164" s="10"/>
      <c r="F164" s="9"/>
      <c r="G164" s="137"/>
      <c r="H164" s="1"/>
      <c r="I164" s="116"/>
      <c r="J164" s="605"/>
      <c r="K164" s="519"/>
      <c r="L164" s="520"/>
      <c r="M164" s="520"/>
      <c r="N164" s="520"/>
      <c r="O164" s="520"/>
      <c r="P164" s="520"/>
      <c r="Q164" s="519"/>
      <c r="R164" s="520"/>
      <c r="S164" s="520"/>
      <c r="T164" s="520"/>
      <c r="U164" s="521"/>
      <c r="V164" s="1"/>
      <c r="Z164" s="469"/>
    </row>
    <row r="165" spans="1:33" ht="12.75" customHeight="1" x14ac:dyDescent="0.3">
      <c r="A165" s="1"/>
      <c r="B165" s="13"/>
      <c r="C165" s="117" t="s">
        <v>163</v>
      </c>
      <c r="D165" s="117" t="s">
        <v>154</v>
      </c>
      <c r="E165" s="60"/>
      <c r="F165" s="15"/>
      <c r="G165" s="16"/>
      <c r="H165" s="1"/>
      <c r="I165" s="17"/>
      <c r="J165" s="42"/>
      <c r="K165" s="522" t="s">
        <v>163</v>
      </c>
      <c r="L165" s="522"/>
      <c r="M165" s="28"/>
      <c r="N165" s="69"/>
      <c r="O165" s="69"/>
      <c r="P165" s="69"/>
      <c r="Q165" s="28"/>
      <c r="R165" s="69"/>
      <c r="S165" s="69"/>
      <c r="T165" s="69"/>
      <c r="U165" s="388"/>
      <c r="V165" s="1"/>
      <c r="AB165" s="458" t="e">
        <f>AB163*#REF!</f>
        <v>#REF!</v>
      </c>
    </row>
    <row r="166" spans="1:33" ht="15" customHeight="1" thickBot="1" x14ac:dyDescent="0.35">
      <c r="A166" s="1"/>
      <c r="B166" s="13"/>
      <c r="C166" s="60"/>
      <c r="D166" s="60"/>
      <c r="E166" s="60"/>
      <c r="F166" s="15"/>
      <c r="G166" s="16"/>
      <c r="H166" s="1"/>
      <c r="I166" s="17"/>
      <c r="J166" s="42"/>
      <c r="K166" s="522"/>
      <c r="L166" s="69"/>
      <c r="M166" s="69"/>
      <c r="N166" s="69"/>
      <c r="O166" s="522"/>
      <c r="P166" s="69"/>
      <c r="Q166" s="28"/>
      <c r="R166" s="69"/>
      <c r="S166" s="69"/>
      <c r="T166" s="69"/>
      <c r="U166" s="388"/>
      <c r="V166" s="1"/>
    </row>
    <row r="167" spans="1:33" ht="16.5" customHeight="1" thickBot="1" x14ac:dyDescent="0.3">
      <c r="A167" s="1"/>
      <c r="B167" s="13"/>
      <c r="C167" s="60" t="s">
        <v>216</v>
      </c>
      <c r="D167" s="15" t="s">
        <v>217</v>
      </c>
      <c r="E167" s="15"/>
      <c r="F167" s="15"/>
      <c r="G167" s="16"/>
      <c r="H167" s="1"/>
      <c r="I167" s="17"/>
      <c r="J167" s="42" t="s">
        <v>11</v>
      </c>
      <c r="K167" s="590" t="s">
        <v>102</v>
      </c>
      <c r="L167" s="590"/>
      <c r="M167" s="69"/>
      <c r="N167" s="69"/>
      <c r="O167" s="28" t="s">
        <v>169</v>
      </c>
      <c r="P167" s="28"/>
      <c r="Q167" s="590" t="s">
        <v>278</v>
      </c>
      <c r="R167" s="28"/>
      <c r="S167" s="159">
        <f>S126</f>
        <v>1400</v>
      </c>
      <c r="T167" s="69"/>
      <c r="U167" s="388"/>
      <c r="V167" s="1"/>
    </row>
    <row r="168" spans="1:33" ht="12.75" customHeight="1" x14ac:dyDescent="0.25">
      <c r="A168" s="1"/>
      <c r="B168" s="13"/>
      <c r="C168" s="60"/>
      <c r="D168" s="15" t="s">
        <v>218</v>
      </c>
      <c r="E168" s="15"/>
      <c r="F168" s="15"/>
      <c r="G168" s="16"/>
      <c r="H168" s="1"/>
      <c r="I168" s="17"/>
      <c r="J168" s="42"/>
      <c r="K168" s="590"/>
      <c r="L168" s="590"/>
      <c r="M168" s="69"/>
      <c r="N168" s="69"/>
      <c r="O168" s="28"/>
      <c r="P168" s="28"/>
      <c r="Q168" s="590"/>
      <c r="R168" s="28"/>
      <c r="S168" s="402"/>
      <c r="T168" s="69"/>
      <c r="U168" s="388"/>
      <c r="V168" s="1"/>
      <c r="Y168" s="495">
        <f>S189</f>
        <v>4</v>
      </c>
      <c r="Z168" s="458">
        <f>Y168/Y170</f>
        <v>2</v>
      </c>
    </row>
    <row r="169" spans="1:33" ht="16.5" customHeight="1" thickBot="1" x14ac:dyDescent="0.3">
      <c r="A169" s="1"/>
      <c r="B169" s="13"/>
      <c r="C169" s="60"/>
      <c r="D169" s="15"/>
      <c r="E169" s="15"/>
      <c r="F169" s="15"/>
      <c r="G169" s="16"/>
      <c r="H169" s="1"/>
      <c r="I169" s="17"/>
      <c r="J169" s="42"/>
      <c r="K169" s="590"/>
      <c r="L169" s="590"/>
      <c r="M169" s="69"/>
      <c r="N169" s="69"/>
      <c r="O169" s="69"/>
      <c r="P169" s="69"/>
      <c r="Q169" s="28"/>
      <c r="R169" s="42"/>
      <c r="S169" s="402"/>
      <c r="T169" s="69"/>
      <c r="U169" s="388"/>
      <c r="V169" s="1"/>
      <c r="AA169" s="462"/>
      <c r="AB169" s="630"/>
    </row>
    <row r="170" spans="1:33" ht="15.75" customHeight="1" thickBot="1" x14ac:dyDescent="0.3">
      <c r="A170" s="1"/>
      <c r="B170" s="13"/>
      <c r="C170" s="60" t="s">
        <v>219</v>
      </c>
      <c r="D170" s="15" t="s">
        <v>220</v>
      </c>
      <c r="E170" s="15"/>
      <c r="F170" s="15"/>
      <c r="G170" s="16"/>
      <c r="H170" s="1"/>
      <c r="I170" s="17"/>
      <c r="J170" s="42" t="s">
        <v>33</v>
      </c>
      <c r="K170" s="28" t="s">
        <v>172</v>
      </c>
      <c r="L170" s="69"/>
      <c r="M170" s="69"/>
      <c r="N170" s="69"/>
      <c r="O170" s="69"/>
      <c r="P170" s="69"/>
      <c r="Q170" s="507" t="s">
        <v>279</v>
      </c>
      <c r="R170" s="28"/>
      <c r="S170" s="160">
        <v>50</v>
      </c>
      <c r="T170" s="28"/>
      <c r="U170" s="388"/>
      <c r="V170" s="1"/>
      <c r="Y170" s="495">
        <f>S191</f>
        <v>2</v>
      </c>
      <c r="Z170" s="458" t="str">
        <f>IF(Z168=2,"2:1",IF(Z168=1,"1:1","????"))</f>
        <v>2:1</v>
      </c>
      <c r="AE170" s="458" t="str">
        <f>IF(AB168=2,S173,IF(AB168=3,S173/2,"????"))</f>
        <v>????</v>
      </c>
    </row>
    <row r="171" spans="1:33" ht="15.75" customHeight="1" x14ac:dyDescent="0.25">
      <c r="A171" s="1"/>
      <c r="B171" s="13"/>
      <c r="C171" s="60"/>
      <c r="D171" s="15"/>
      <c r="E171" s="15"/>
      <c r="F171" s="15"/>
      <c r="G171" s="16"/>
      <c r="H171" s="1"/>
      <c r="I171" s="17"/>
      <c r="J171" s="42"/>
      <c r="K171" s="28"/>
      <c r="L171" s="69"/>
      <c r="M171" s="69"/>
      <c r="N171" s="69"/>
      <c r="O171" s="69"/>
      <c r="P171" s="69"/>
      <c r="Q171" s="507"/>
      <c r="R171" s="28"/>
      <c r="S171" s="425"/>
      <c r="T171" s="28"/>
      <c r="U171" s="388"/>
      <c r="V171" s="1"/>
    </row>
    <row r="172" spans="1:33" ht="15.75" customHeight="1" thickBot="1" x14ac:dyDescent="0.3">
      <c r="A172" s="1"/>
      <c r="B172" s="13"/>
      <c r="C172" s="60" t="s">
        <v>221</v>
      </c>
      <c r="D172" s="15" t="s">
        <v>222</v>
      </c>
      <c r="E172" s="15"/>
      <c r="F172" s="15"/>
      <c r="G172" s="16"/>
      <c r="H172" s="1"/>
      <c r="I172" s="17"/>
      <c r="J172" s="42"/>
      <c r="K172" s="28"/>
      <c r="L172" s="69"/>
      <c r="M172" s="69"/>
      <c r="N172" s="69"/>
      <c r="O172" s="69"/>
      <c r="P172" s="69"/>
      <c r="Q172" s="534"/>
      <c r="R172" s="28"/>
      <c r="S172" s="161"/>
      <c r="T172" s="28"/>
      <c r="U172" s="388"/>
      <c r="V172" s="1"/>
      <c r="AB172" s="458" t="e">
        <f>IF(#REF!/#REF!=2,S173,S173/2)</f>
        <v>#REF!</v>
      </c>
    </row>
    <row r="173" spans="1:33" ht="15.75" customHeight="1" thickBot="1" x14ac:dyDescent="0.3">
      <c r="A173" s="1"/>
      <c r="B173" s="13"/>
      <c r="C173" s="60"/>
      <c r="D173" s="15"/>
      <c r="E173" s="15"/>
      <c r="F173" s="15"/>
      <c r="G173" s="16"/>
      <c r="H173" s="1"/>
      <c r="I173" s="17"/>
      <c r="J173" s="42" t="s">
        <v>45</v>
      </c>
      <c r="K173" s="355" t="s">
        <v>176</v>
      </c>
      <c r="L173" s="69"/>
      <c r="M173" s="69"/>
      <c r="N173" s="69"/>
      <c r="O173" s="608" t="s">
        <v>223</v>
      </c>
      <c r="P173" s="28"/>
      <c r="Q173" s="28" t="s">
        <v>280</v>
      </c>
      <c r="R173" s="28"/>
      <c r="S173" s="163">
        <f>S167/S170</f>
        <v>28</v>
      </c>
      <c r="T173" s="69"/>
      <c r="U173" s="388"/>
      <c r="V173" s="1"/>
      <c r="Z173" s="458" t="str">
        <f>IF(S193=2,S185,IF(S193=3,(S173/2),"????"))</f>
        <v>????</v>
      </c>
    </row>
    <row r="174" spans="1:33" ht="15.75" customHeight="1" x14ac:dyDescent="0.25">
      <c r="A174" s="1"/>
      <c r="B174" s="162" t="s">
        <v>224</v>
      </c>
      <c r="C174" s="122" t="s">
        <v>225</v>
      </c>
      <c r="D174" s="121" t="s">
        <v>226</v>
      </c>
      <c r="E174" s="121"/>
      <c r="F174" s="121"/>
      <c r="G174" s="16"/>
      <c r="H174" s="1"/>
      <c r="I174" s="17"/>
      <c r="J174" s="42"/>
      <c r="K174" s="355"/>
      <c r="L174" s="69"/>
      <c r="M174" s="69"/>
      <c r="N174" s="69"/>
      <c r="O174" s="608"/>
      <c r="P174" s="28"/>
      <c r="Q174" s="28"/>
      <c r="R174" s="28"/>
      <c r="S174" s="165"/>
      <c r="T174" s="69"/>
      <c r="U174" s="388"/>
      <c r="V174" s="1"/>
    </row>
    <row r="175" spans="1:33" ht="15.75" customHeight="1" x14ac:dyDescent="0.25">
      <c r="A175" s="1"/>
      <c r="B175" s="13"/>
      <c r="C175" s="122"/>
      <c r="D175" s="121" t="s">
        <v>227</v>
      </c>
      <c r="E175" s="121"/>
      <c r="F175" s="121"/>
      <c r="G175" s="16"/>
      <c r="H175" s="1"/>
      <c r="I175" s="17"/>
      <c r="J175" s="507" t="s">
        <v>289</v>
      </c>
      <c r="K175" s="355"/>
      <c r="L175" s="69"/>
      <c r="M175" s="69"/>
      <c r="N175" s="69"/>
      <c r="O175" s="608"/>
      <c r="P175" s="28"/>
      <c r="Q175" s="28"/>
      <c r="R175" s="28"/>
      <c r="S175" s="409"/>
      <c r="T175" s="69"/>
      <c r="U175" s="388"/>
      <c r="V175" s="1"/>
      <c r="AB175" s="458" t="e">
        <f>IF(#REF!="1:1",(#REF!+#REF!),((#REF!*2)+#REF!))</f>
        <v>#REF!</v>
      </c>
      <c r="AG175" s="458" t="e">
        <f>#REF!/#REF!</f>
        <v>#REF!</v>
      </c>
    </row>
    <row r="176" spans="1:33" ht="15.75" customHeight="1" x14ac:dyDescent="0.25">
      <c r="A176" s="1"/>
      <c r="B176" s="13"/>
      <c r="C176" s="122"/>
      <c r="D176" s="121"/>
      <c r="E176" s="121"/>
      <c r="F176" s="121"/>
      <c r="G176" s="16"/>
      <c r="H176" s="1"/>
      <c r="I176" s="17"/>
      <c r="J176" s="42"/>
      <c r="K176" s="355"/>
      <c r="L176" s="69"/>
      <c r="M176" s="69"/>
      <c r="N176" s="69"/>
      <c r="O176" s="608"/>
      <c r="P176" s="28"/>
      <c r="Q176" s="28"/>
      <c r="R176" s="28"/>
      <c r="S176" s="165"/>
      <c r="T176" s="69"/>
      <c r="U176" s="388"/>
      <c r="V176" s="1"/>
    </row>
    <row r="177" spans="1:33" ht="15.75" customHeight="1" x14ac:dyDescent="0.25">
      <c r="A177" s="1"/>
      <c r="B177" s="13"/>
      <c r="C177" s="122"/>
      <c r="D177" s="121" t="s">
        <v>228</v>
      </c>
      <c r="E177" s="121"/>
      <c r="F177" s="121"/>
      <c r="G177" s="16"/>
      <c r="H177" s="1"/>
      <c r="I177" s="17"/>
      <c r="J177" s="507"/>
      <c r="K177" s="507" t="s">
        <v>290</v>
      </c>
      <c r="L177" s="69"/>
      <c r="M177" s="69"/>
      <c r="N177" s="69"/>
      <c r="O177" s="69"/>
      <c r="P177" s="609"/>
      <c r="Q177" s="28"/>
      <c r="R177" s="28"/>
      <c r="S177" s="389"/>
      <c r="T177" s="69"/>
      <c r="U177" s="388"/>
      <c r="V177" s="1"/>
      <c r="AB177" s="458" t="e">
        <f>IF(#REF!="1:1",#REF!,(#REF!/2))</f>
        <v>#REF!</v>
      </c>
    </row>
    <row r="178" spans="1:33" ht="15.75" customHeight="1" x14ac:dyDescent="0.25">
      <c r="A178" s="1"/>
      <c r="B178" s="13"/>
      <c r="C178" s="122"/>
      <c r="D178" s="121" t="s">
        <v>229</v>
      </c>
      <c r="E178" s="121"/>
      <c r="F178" s="121"/>
      <c r="G178" s="16"/>
      <c r="H178" s="1"/>
      <c r="I178" s="17"/>
      <c r="J178" s="42"/>
      <c r="K178" s="608" t="s">
        <v>295</v>
      </c>
      <c r="L178" s="608"/>
      <c r="M178" s="69"/>
      <c r="N178" s="69"/>
      <c r="O178" s="28" t="s">
        <v>291</v>
      </c>
      <c r="P178" s="608"/>
      <c r="Q178" s="28"/>
      <c r="R178" s="28"/>
      <c r="S178" s="389"/>
      <c r="T178" s="69"/>
      <c r="U178" s="388"/>
      <c r="V178" s="1"/>
    </row>
    <row r="179" spans="1:33" ht="15.75" customHeight="1" x14ac:dyDescent="0.25">
      <c r="A179" s="1"/>
      <c r="B179" s="13"/>
      <c r="C179" s="60"/>
      <c r="D179" s="15"/>
      <c r="E179" s="15"/>
      <c r="F179" s="15"/>
      <c r="G179" s="16"/>
      <c r="H179" s="1"/>
      <c r="I179" s="17"/>
      <c r="J179" s="42"/>
      <c r="K179" s="608"/>
      <c r="L179" s="69"/>
      <c r="M179" s="69"/>
      <c r="N179" s="69"/>
      <c r="O179" s="69"/>
      <c r="P179" s="609"/>
      <c r="Q179" s="28"/>
      <c r="R179" s="28"/>
      <c r="S179" s="389"/>
      <c r="T179" s="69"/>
      <c r="U179" s="388"/>
      <c r="V179" s="1"/>
      <c r="AB179" s="458">
        <v>1</v>
      </c>
      <c r="AF179" s="496" t="str">
        <f>IF(OR(T193=2,T193=3),(AA179*AC179),"????")</f>
        <v>????</v>
      </c>
    </row>
    <row r="180" spans="1:33" ht="15.75" customHeight="1" x14ac:dyDescent="0.25">
      <c r="A180" s="1"/>
      <c r="B180" s="13"/>
      <c r="C180" s="60" t="s">
        <v>231</v>
      </c>
      <c r="D180" s="15" t="s">
        <v>232</v>
      </c>
      <c r="E180" s="15"/>
      <c r="F180" s="15"/>
      <c r="G180" s="16"/>
      <c r="H180" s="1"/>
      <c r="I180" s="17"/>
      <c r="J180" s="42"/>
      <c r="K180" s="608" t="s">
        <v>292</v>
      </c>
      <c r="L180" s="69"/>
      <c r="M180" s="69"/>
      <c r="N180" s="69"/>
      <c r="O180" s="69"/>
      <c r="P180" s="609"/>
      <c r="Q180" s="28"/>
      <c r="R180" s="28"/>
      <c r="S180" s="389"/>
      <c r="T180" s="69"/>
      <c r="U180" s="388"/>
      <c r="V180" s="1"/>
    </row>
    <row r="181" spans="1:33" ht="15.75" customHeight="1" x14ac:dyDescent="0.25">
      <c r="A181" s="1"/>
      <c r="B181" s="13"/>
      <c r="C181" s="15"/>
      <c r="D181" s="15"/>
      <c r="E181" s="15"/>
      <c r="F181" s="15"/>
      <c r="G181" s="16"/>
      <c r="H181" s="1"/>
      <c r="I181" s="17"/>
      <c r="J181" s="42"/>
      <c r="K181" s="608" t="s">
        <v>296</v>
      </c>
      <c r="L181" s="608"/>
      <c r="M181" s="69"/>
      <c r="N181" s="69"/>
      <c r="O181" s="69"/>
      <c r="P181" s="609"/>
      <c r="Q181" s="28"/>
      <c r="R181" s="28"/>
      <c r="S181" s="28" t="s">
        <v>293</v>
      </c>
      <c r="T181" s="608"/>
      <c r="U181" s="388"/>
      <c r="V181" s="1"/>
    </row>
    <row r="182" spans="1:33" ht="15.75" customHeight="1" x14ac:dyDescent="0.25">
      <c r="A182" s="1"/>
      <c r="B182" s="13"/>
      <c r="C182" s="84" t="s">
        <v>233</v>
      </c>
      <c r="D182" s="15"/>
      <c r="E182" s="15"/>
      <c r="F182" s="164"/>
      <c r="G182" s="16"/>
      <c r="H182" s="1"/>
      <c r="I182" s="17"/>
      <c r="J182" s="42"/>
      <c r="K182" s="609"/>
      <c r="L182" s="608"/>
      <c r="M182" s="69"/>
      <c r="N182" s="69"/>
      <c r="O182" s="69"/>
      <c r="P182" s="609"/>
      <c r="Q182" s="28"/>
      <c r="R182" s="28"/>
      <c r="S182" s="28"/>
      <c r="T182" s="608"/>
      <c r="U182" s="388"/>
      <c r="V182" s="1"/>
    </row>
    <row r="183" spans="1:33" ht="15.75" customHeight="1" thickBot="1" x14ac:dyDescent="0.3">
      <c r="A183" s="1"/>
      <c r="B183" s="13"/>
      <c r="C183" s="15"/>
      <c r="D183" s="15"/>
      <c r="E183" s="15"/>
      <c r="F183" s="164"/>
      <c r="G183" s="16"/>
      <c r="H183" s="1"/>
      <c r="I183" s="17"/>
      <c r="J183" s="42"/>
      <c r="K183" s="609"/>
      <c r="L183" s="608"/>
      <c r="M183" s="69"/>
      <c r="N183" s="69"/>
      <c r="O183" s="69"/>
      <c r="P183" s="609"/>
      <c r="Q183" s="28"/>
      <c r="R183" s="28"/>
      <c r="S183" s="28"/>
      <c r="T183" s="608"/>
      <c r="U183" s="388"/>
      <c r="V183" s="1"/>
      <c r="AB183" s="497" t="s">
        <v>237</v>
      </c>
    </row>
    <row r="184" spans="1:33" ht="15.75" customHeight="1" thickBot="1" x14ac:dyDescent="0.3">
      <c r="A184" s="1"/>
      <c r="B184" s="13"/>
      <c r="C184" s="84" t="s">
        <v>234</v>
      </c>
      <c r="D184" s="15"/>
      <c r="E184" s="15"/>
      <c r="F184" s="164"/>
      <c r="G184" s="16"/>
      <c r="H184" s="1"/>
      <c r="I184" s="17"/>
      <c r="J184" s="42" t="s">
        <v>66</v>
      </c>
      <c r="K184" s="28" t="s">
        <v>282</v>
      </c>
      <c r="L184" s="28"/>
      <c r="M184" s="389"/>
      <c r="N184" s="400" t="s">
        <v>118</v>
      </c>
      <c r="O184" s="72" t="s">
        <v>129</v>
      </c>
      <c r="P184" s="401" t="s">
        <v>130</v>
      </c>
      <c r="Q184" s="400" t="s">
        <v>187</v>
      </c>
      <c r="R184" s="72" t="s">
        <v>188</v>
      </c>
      <c r="S184" s="72" t="s">
        <v>189</v>
      </c>
      <c r="T184" s="69"/>
      <c r="U184" s="388"/>
      <c r="V184" s="1"/>
      <c r="AB184" s="497"/>
    </row>
    <row r="185" spans="1:33" ht="15.75" customHeight="1" thickBot="1" x14ac:dyDescent="0.3">
      <c r="A185" s="1"/>
      <c r="B185" s="13"/>
      <c r="C185" s="15"/>
      <c r="D185" s="15"/>
      <c r="E185" s="15"/>
      <c r="F185" s="15"/>
      <c r="G185" s="16"/>
      <c r="H185" s="1"/>
      <c r="I185" s="17"/>
      <c r="J185" s="28"/>
      <c r="K185" s="28"/>
      <c r="L185" s="69"/>
      <c r="M185" s="391"/>
      <c r="N185" s="426">
        <v>1</v>
      </c>
      <c r="O185" s="427">
        <v>0.8</v>
      </c>
      <c r="P185" s="428">
        <v>3</v>
      </c>
      <c r="Q185" s="429">
        <f>O185*P185</f>
        <v>2.4000000000000004</v>
      </c>
      <c r="R185" s="430">
        <f>((P185*N185)*2)</f>
        <v>6</v>
      </c>
      <c r="S185" s="431">
        <f>Q185+R185</f>
        <v>8.4</v>
      </c>
      <c r="T185" s="69"/>
      <c r="U185" s="388"/>
      <c r="V185" s="1"/>
      <c r="AB185" s="493" t="s">
        <v>238</v>
      </c>
      <c r="AG185" s="458" t="e">
        <f>#REF!*3</f>
        <v>#REF!</v>
      </c>
    </row>
    <row r="186" spans="1:33" ht="15.75" customHeight="1" x14ac:dyDescent="0.25">
      <c r="A186" s="1"/>
      <c r="B186" s="13"/>
      <c r="C186" s="60" t="s">
        <v>235</v>
      </c>
      <c r="D186" s="15"/>
      <c r="E186" s="15"/>
      <c r="F186" s="15"/>
      <c r="G186" s="16"/>
      <c r="H186" s="1"/>
      <c r="I186" s="17"/>
      <c r="J186" s="28"/>
      <c r="K186" s="28"/>
      <c r="L186" s="69"/>
      <c r="M186" s="391"/>
      <c r="N186" s="419"/>
      <c r="O186" s="420"/>
      <c r="P186" s="420"/>
      <c r="Q186" s="421"/>
      <c r="R186" s="421"/>
      <c r="S186" s="422"/>
      <c r="T186" s="69"/>
      <c r="U186" s="388"/>
      <c r="V186" s="1"/>
      <c r="AB186" s="497"/>
    </row>
    <row r="187" spans="1:33" ht="15.75" customHeight="1" x14ac:dyDescent="0.25">
      <c r="A187" s="1"/>
      <c r="B187" s="13"/>
      <c r="C187" s="15"/>
      <c r="D187" s="15"/>
      <c r="E187" s="15"/>
      <c r="F187" s="15"/>
      <c r="G187" s="16"/>
      <c r="H187" s="1"/>
      <c r="I187" s="405"/>
      <c r="J187" s="28" t="s">
        <v>75</v>
      </c>
      <c r="K187" s="28" t="s">
        <v>283</v>
      </c>
      <c r="L187" s="28"/>
      <c r="M187" s="28"/>
      <c r="N187" s="406"/>
      <c r="O187" s="69"/>
      <c r="P187" s="406"/>
      <c r="Q187" s="406"/>
      <c r="R187" s="406"/>
      <c r="S187" s="165"/>
      <c r="T187" s="69"/>
      <c r="U187" s="388"/>
      <c r="V187" s="1"/>
      <c r="AB187" s="458" t="s">
        <v>239</v>
      </c>
      <c r="AG187" s="495" t="e">
        <f>AG185-#REF!</f>
        <v>#REF!</v>
      </c>
    </row>
    <row r="188" spans="1:33" ht="15.75" customHeight="1" thickBot="1" x14ac:dyDescent="0.3">
      <c r="A188" s="1"/>
      <c r="B188" s="13"/>
      <c r="C188" s="60"/>
      <c r="D188" s="15"/>
      <c r="E188" s="15"/>
      <c r="F188" s="15"/>
      <c r="G188" s="16"/>
      <c r="H188" s="1"/>
      <c r="I188" s="17"/>
      <c r="J188" s="28"/>
      <c r="K188" s="28"/>
      <c r="L188" s="28"/>
      <c r="M188" s="28"/>
      <c r="N188" s="28"/>
      <c r="O188" s="28"/>
      <c r="P188" s="28"/>
      <c r="Q188" s="28"/>
      <c r="R188" s="28"/>
      <c r="S188" s="527"/>
      <c r="T188" s="69"/>
      <c r="U188" s="388"/>
      <c r="V188" s="1"/>
      <c r="AB188" s="458" t="s">
        <v>236</v>
      </c>
    </row>
    <row r="189" spans="1:33" ht="15.75" customHeight="1" thickBot="1" x14ac:dyDescent="0.3">
      <c r="A189" s="1"/>
      <c r="B189" s="13"/>
      <c r="C189" s="60"/>
      <c r="D189" s="15"/>
      <c r="E189" s="15"/>
      <c r="F189" s="15"/>
      <c r="G189" s="16"/>
      <c r="H189" s="1"/>
      <c r="I189" s="17"/>
      <c r="J189" s="28"/>
      <c r="K189" s="28"/>
      <c r="L189" s="28"/>
      <c r="M189" s="28" t="s">
        <v>297</v>
      </c>
      <c r="N189" s="28"/>
      <c r="O189" s="28"/>
      <c r="P189" s="28"/>
      <c r="Q189" s="406"/>
      <c r="R189" s="28"/>
      <c r="S189" s="408">
        <v>4</v>
      </c>
      <c r="T189" s="69"/>
      <c r="U189" s="388"/>
      <c r="V189" s="1"/>
      <c r="AG189" s="495" t="e">
        <f>AG185-AG187</f>
        <v>#REF!</v>
      </c>
    </row>
    <row r="190" spans="1:33" ht="15" customHeight="1" thickBot="1" x14ac:dyDescent="0.3">
      <c r="A190" s="1"/>
      <c r="B190" s="13"/>
      <c r="C190" s="166"/>
      <c r="D190" s="166"/>
      <c r="E190" s="15"/>
      <c r="F190" s="15"/>
      <c r="G190" s="16"/>
      <c r="H190" s="1"/>
      <c r="I190" s="17"/>
      <c r="J190" s="28"/>
      <c r="K190" s="28"/>
      <c r="L190" s="28"/>
      <c r="M190" s="28"/>
      <c r="N190" s="28"/>
      <c r="O190" s="28"/>
      <c r="P190" s="507"/>
      <c r="Q190" s="507"/>
      <c r="R190" s="507"/>
      <c r="S190" s="409"/>
      <c r="T190" s="69"/>
      <c r="U190" s="388"/>
      <c r="V190" s="1"/>
    </row>
    <row r="191" spans="1:33" ht="15.75" thickBot="1" x14ac:dyDescent="0.3">
      <c r="A191" s="1"/>
      <c r="B191" s="13"/>
      <c r="C191" s="60"/>
      <c r="D191" s="15"/>
      <c r="E191" s="15"/>
      <c r="F191" s="15"/>
      <c r="G191" s="16"/>
      <c r="H191" s="1"/>
      <c r="I191" s="17"/>
      <c r="J191" s="28"/>
      <c r="K191" s="28"/>
      <c r="L191" s="28"/>
      <c r="M191" s="28" t="s">
        <v>298</v>
      </c>
      <c r="N191" s="28"/>
      <c r="O191" s="28"/>
      <c r="P191" s="507"/>
      <c r="Q191" s="406"/>
      <c r="R191" s="42"/>
      <c r="S191" s="408">
        <v>2</v>
      </c>
      <c r="T191" s="69"/>
      <c r="U191" s="388"/>
      <c r="V191" s="1"/>
    </row>
    <row r="192" spans="1:33" ht="15.75" customHeight="1" thickBot="1" x14ac:dyDescent="0.3">
      <c r="A192" s="1"/>
      <c r="B192" s="13"/>
      <c r="C192" s="60"/>
      <c r="D192" s="15"/>
      <c r="E192" s="15"/>
      <c r="F192" s="15"/>
      <c r="G192" s="16"/>
      <c r="H192" s="1"/>
      <c r="I192" s="17"/>
      <c r="J192" s="28"/>
      <c r="K192" s="28"/>
      <c r="L192" s="28"/>
      <c r="M192" s="28"/>
      <c r="N192" s="28"/>
      <c r="O192" s="28"/>
      <c r="P192" s="507"/>
      <c r="Q192" s="507"/>
      <c r="R192" s="507"/>
      <c r="S192" s="409"/>
      <c r="T192" s="69"/>
      <c r="U192" s="388"/>
      <c r="V192" s="1"/>
      <c r="AB192" s="458" t="e">
        <f>R207/#REF!</f>
        <v>#VALUE!</v>
      </c>
      <c r="AG192" s="458" t="e">
        <f>#REF!/2</f>
        <v>#REF!</v>
      </c>
    </row>
    <row r="193" spans="1:33" ht="15.75" customHeight="1" thickBot="1" x14ac:dyDescent="0.3">
      <c r="A193" s="1"/>
      <c r="B193" s="13"/>
      <c r="C193" s="60"/>
      <c r="D193" s="15"/>
      <c r="E193" s="15"/>
      <c r="F193" s="15"/>
      <c r="G193" s="16"/>
      <c r="H193" s="1"/>
      <c r="I193" s="17"/>
      <c r="J193" s="28"/>
      <c r="K193" s="28"/>
      <c r="L193" s="28"/>
      <c r="M193" s="28" t="s">
        <v>299</v>
      </c>
      <c r="N193" s="28"/>
      <c r="O193" s="28"/>
      <c r="P193" s="507"/>
      <c r="Q193" s="507"/>
      <c r="R193" s="42"/>
      <c r="S193" s="167">
        <f>S189+S191</f>
        <v>6</v>
      </c>
      <c r="T193" s="69"/>
      <c r="U193" s="388"/>
      <c r="V193" s="1"/>
    </row>
    <row r="194" spans="1:33" ht="15.75" customHeight="1" thickBot="1" x14ac:dyDescent="0.3">
      <c r="A194" s="1"/>
      <c r="B194" s="13"/>
      <c r="C194" s="60"/>
      <c r="D194" s="15"/>
      <c r="E194" s="15"/>
      <c r="F194" s="15"/>
      <c r="G194" s="16"/>
      <c r="H194" s="1"/>
      <c r="I194" s="17"/>
      <c r="J194" s="28"/>
      <c r="K194" s="28"/>
      <c r="L194" s="28"/>
      <c r="M194" s="28"/>
      <c r="N194" s="28"/>
      <c r="O194" s="28"/>
      <c r="P194" s="507"/>
      <c r="Q194" s="507"/>
      <c r="R194" s="42"/>
      <c r="S194" s="407"/>
      <c r="T194" s="69"/>
      <c r="U194" s="388"/>
      <c r="V194" s="1"/>
      <c r="AB194" s="469" t="e">
        <f>(2*(#REF!*R201)+(S188*R201))</f>
        <v>#REF!</v>
      </c>
    </row>
    <row r="195" spans="1:33" ht="15.75" customHeight="1" thickBot="1" x14ac:dyDescent="0.3">
      <c r="A195" s="1"/>
      <c r="B195" s="13"/>
      <c r="C195" s="60"/>
      <c r="D195" s="15"/>
      <c r="E195" s="15"/>
      <c r="F195" s="15"/>
      <c r="G195" s="16"/>
      <c r="H195" s="1"/>
      <c r="I195" s="17"/>
      <c r="J195" s="28"/>
      <c r="K195" s="28"/>
      <c r="L195" s="69"/>
      <c r="M195" s="28" t="s">
        <v>300</v>
      </c>
      <c r="N195" s="69"/>
      <c r="O195" s="69"/>
      <c r="P195" s="28"/>
      <c r="Q195" s="28"/>
      <c r="R195" s="28"/>
      <c r="S195" s="163" t="str">
        <f>Z170</f>
        <v>2:1</v>
      </c>
      <c r="T195" s="69"/>
      <c r="U195" s="388"/>
      <c r="V195" s="1"/>
    </row>
    <row r="196" spans="1:33" ht="15.75" customHeight="1" thickBot="1" x14ac:dyDescent="0.3">
      <c r="A196" s="1"/>
      <c r="B196" s="13"/>
      <c r="C196" s="60"/>
      <c r="D196" s="15"/>
      <c r="E196" s="15"/>
      <c r="F196" s="15"/>
      <c r="G196" s="16"/>
      <c r="H196" s="1"/>
      <c r="I196" s="17"/>
      <c r="J196" s="28"/>
      <c r="K196" s="28"/>
      <c r="L196" s="69"/>
      <c r="M196" s="28"/>
      <c r="N196" s="69"/>
      <c r="O196" s="69"/>
      <c r="P196" s="28"/>
      <c r="Q196" s="28"/>
      <c r="R196" s="28"/>
      <c r="S196" s="165"/>
      <c r="T196" s="69"/>
      <c r="U196" s="388"/>
      <c r="V196" s="1"/>
      <c r="AB196" s="458" t="s">
        <v>240</v>
      </c>
      <c r="AC196" s="458" t="e">
        <f>IF(R201="sim",R203,#REF!)</f>
        <v>#REF!</v>
      </c>
    </row>
    <row r="197" spans="1:33" ht="15.75" customHeight="1" thickBot="1" x14ac:dyDescent="0.3">
      <c r="A197" s="1"/>
      <c r="B197" s="13"/>
      <c r="C197" s="60"/>
      <c r="D197" s="15"/>
      <c r="E197" s="15"/>
      <c r="F197" s="15"/>
      <c r="G197" s="16"/>
      <c r="H197" s="1"/>
      <c r="I197" s="17"/>
      <c r="J197" s="28"/>
      <c r="K197" s="28"/>
      <c r="L197" s="28"/>
      <c r="M197" s="28" t="s">
        <v>302</v>
      </c>
      <c r="N197" s="69"/>
      <c r="O197" s="69"/>
      <c r="P197" s="69"/>
      <c r="Q197" s="69"/>
      <c r="R197" s="69"/>
      <c r="S197" s="163">
        <f>AA208</f>
        <v>33.6</v>
      </c>
      <c r="T197" s="69"/>
      <c r="U197" s="388"/>
      <c r="V197" s="1"/>
    </row>
    <row r="198" spans="1:33" ht="15.75" customHeight="1" thickBot="1" x14ac:dyDescent="0.3">
      <c r="A198" s="1"/>
      <c r="B198" s="13"/>
      <c r="C198" s="60"/>
      <c r="D198" s="15"/>
      <c r="E198" s="15"/>
      <c r="F198" s="15"/>
      <c r="G198" s="16"/>
      <c r="H198" s="1"/>
      <c r="I198" s="17"/>
      <c r="J198" s="28"/>
      <c r="K198" s="28"/>
      <c r="L198" s="28"/>
      <c r="M198" s="28"/>
      <c r="N198" s="69"/>
      <c r="O198" s="69"/>
      <c r="P198" s="69"/>
      <c r="Q198" s="69"/>
      <c r="R198" s="69"/>
      <c r="S198" s="165"/>
      <c r="T198" s="69"/>
      <c r="U198" s="388"/>
      <c r="V198" s="1"/>
    </row>
    <row r="199" spans="1:33" ht="15.75" customHeight="1" thickBot="1" x14ac:dyDescent="0.3">
      <c r="A199" s="1"/>
      <c r="B199" s="13"/>
      <c r="C199" s="60"/>
      <c r="D199" s="15"/>
      <c r="E199" s="15"/>
      <c r="F199" s="15"/>
      <c r="G199" s="16"/>
      <c r="H199" s="1"/>
      <c r="I199" s="17"/>
      <c r="J199" s="42" t="s">
        <v>294</v>
      </c>
      <c r="K199" s="28" t="s">
        <v>284</v>
      </c>
      <c r="L199" s="28"/>
      <c r="M199" s="28"/>
      <c r="N199" s="28"/>
      <c r="O199" s="28"/>
      <c r="P199" s="622"/>
      <c r="Q199" s="622"/>
      <c r="R199" s="622"/>
      <c r="S199" s="410" t="s">
        <v>181</v>
      </c>
      <c r="T199" s="69"/>
      <c r="U199" s="388"/>
      <c r="V199" s="1"/>
    </row>
    <row r="200" spans="1:33" ht="15.75" thickBot="1" x14ac:dyDescent="0.3">
      <c r="A200" s="1"/>
      <c r="B200" s="13"/>
      <c r="C200" s="60"/>
      <c r="D200" s="15"/>
      <c r="E200" s="15"/>
      <c r="F200" s="15"/>
      <c r="G200" s="16"/>
      <c r="H200" s="1"/>
      <c r="I200" s="17"/>
      <c r="J200" s="28"/>
      <c r="K200" s="28"/>
      <c r="L200" s="69"/>
      <c r="M200" s="69"/>
      <c r="N200" s="69"/>
      <c r="O200" s="69"/>
      <c r="P200" s="671"/>
      <c r="Q200" s="671"/>
      <c r="R200" s="671"/>
      <c r="S200" s="80"/>
      <c r="T200" s="69"/>
      <c r="U200" s="388"/>
      <c r="V200" s="1"/>
      <c r="AG200" s="469" t="e">
        <f>AG192*AB192</f>
        <v>#REF!</v>
      </c>
    </row>
    <row r="201" spans="1:33" ht="15.75" thickBot="1" x14ac:dyDescent="0.3">
      <c r="A201" s="1"/>
      <c r="B201" s="13"/>
      <c r="C201" s="60"/>
      <c r="D201" s="15"/>
      <c r="E201" s="15"/>
      <c r="F201" s="15"/>
      <c r="G201" s="16"/>
      <c r="H201" s="1"/>
      <c r="I201" s="17"/>
      <c r="J201" s="28"/>
      <c r="K201" s="28"/>
      <c r="L201" s="665" t="s">
        <v>111</v>
      </c>
      <c r="M201" s="666"/>
      <c r="N201" s="667"/>
      <c r="O201" s="657" t="s">
        <v>112</v>
      </c>
      <c r="P201" s="658"/>
      <c r="Q201" s="396" t="s">
        <v>52</v>
      </c>
      <c r="R201" s="665" t="s">
        <v>140</v>
      </c>
      <c r="S201" s="667"/>
      <c r="T201" s="69"/>
      <c r="U201" s="388"/>
      <c r="V201" s="1"/>
    </row>
    <row r="202" spans="1:33" ht="15.75" thickBot="1" x14ac:dyDescent="0.3">
      <c r="A202" s="1"/>
      <c r="B202" s="13"/>
      <c r="C202" s="60"/>
      <c r="D202" s="15"/>
      <c r="E202" s="15"/>
      <c r="F202" s="15"/>
      <c r="G202" s="16"/>
      <c r="H202" s="1"/>
      <c r="I202" s="17"/>
      <c r="J202" s="28"/>
      <c r="K202" s="28"/>
      <c r="L202" s="668"/>
      <c r="M202" s="669"/>
      <c r="N202" s="670"/>
      <c r="O202" s="87" t="s">
        <v>114</v>
      </c>
      <c r="P202" s="88" t="s">
        <v>115</v>
      </c>
      <c r="Q202" s="397"/>
      <c r="R202" s="668"/>
      <c r="S202" s="670"/>
      <c r="T202" s="69"/>
      <c r="U202" s="388"/>
      <c r="V202" s="1"/>
      <c r="AB202" s="495" t="e">
        <f>#REF!</f>
        <v>#REF!</v>
      </c>
    </row>
    <row r="203" spans="1:33" ht="15.75" thickBot="1" x14ac:dyDescent="0.3">
      <c r="A203" s="1"/>
      <c r="B203" s="13"/>
      <c r="C203" s="60"/>
      <c r="D203" s="15"/>
      <c r="E203" s="15"/>
      <c r="F203" s="15"/>
      <c r="G203" s="16"/>
      <c r="H203" s="1"/>
      <c r="I203" s="17"/>
      <c r="J203" s="69"/>
      <c r="K203" s="28"/>
      <c r="L203" s="411" t="s">
        <v>301</v>
      </c>
      <c r="M203" s="412"/>
      <c r="N203" s="412"/>
      <c r="O203" s="123" t="s">
        <v>144</v>
      </c>
      <c r="P203" s="148" t="s">
        <v>144</v>
      </c>
      <c r="Q203" s="93" t="str">
        <f>S195</f>
        <v>2:1</v>
      </c>
      <c r="R203" s="677" t="str">
        <f>IF(OR(Q203="2:1",Q203="1:1"),"Atende","Não atende")</f>
        <v>Atende</v>
      </c>
      <c r="S203" s="678"/>
      <c r="T203" s="69"/>
      <c r="U203" s="388"/>
      <c r="V203" s="1"/>
    </row>
    <row r="204" spans="1:33" ht="15.75" thickBot="1" x14ac:dyDescent="0.3">
      <c r="A204" s="1"/>
      <c r="B204" s="13"/>
      <c r="C204" s="60"/>
      <c r="D204" s="15"/>
      <c r="E204" s="15"/>
      <c r="F204" s="15"/>
      <c r="G204" s="16"/>
      <c r="H204" s="1"/>
      <c r="I204" s="17"/>
      <c r="J204" s="69"/>
      <c r="K204" s="28"/>
      <c r="L204" s="168" t="s">
        <v>148</v>
      </c>
      <c r="M204" s="412"/>
      <c r="N204" s="412"/>
      <c r="O204" s="125">
        <v>0.3</v>
      </c>
      <c r="P204" s="413" t="s">
        <v>144</v>
      </c>
      <c r="Q204" s="153">
        <f>N185</f>
        <v>1</v>
      </c>
      <c r="R204" s="644" t="str">
        <f>IF(S195="????","????",IF(Q204&gt;O204,"Atende","Não Atende"))</f>
        <v>Atende</v>
      </c>
      <c r="S204" s="645"/>
      <c r="T204" s="69"/>
      <c r="U204" s="388"/>
      <c r="V204" s="1"/>
      <c r="AB204" s="495" t="e">
        <f>#REF!</f>
        <v>#REF!</v>
      </c>
      <c r="AD204" s="458" t="e">
        <f>AB204/AB202</f>
        <v>#REF!</v>
      </c>
    </row>
    <row r="205" spans="1:33" ht="15.75" thickBot="1" x14ac:dyDescent="0.3">
      <c r="A205" s="1"/>
      <c r="B205" s="13"/>
      <c r="C205" s="60"/>
      <c r="D205" s="15"/>
      <c r="E205" s="15"/>
      <c r="F205" s="15"/>
      <c r="G205" s="16"/>
      <c r="H205" s="1"/>
      <c r="I205" s="17"/>
      <c r="J205" s="69"/>
      <c r="K205" s="28"/>
      <c r="L205" s="168" t="s">
        <v>230</v>
      </c>
      <c r="M205" s="169"/>
      <c r="N205" s="169"/>
      <c r="O205" s="104">
        <v>0.3</v>
      </c>
      <c r="P205" s="414" t="s">
        <v>144</v>
      </c>
      <c r="Q205" s="150">
        <f>O185</f>
        <v>0.8</v>
      </c>
      <c r="R205" s="644" t="str">
        <f>IF(S195="????","????",IF(Q205&gt;O205,"Atende","Não Atende"))</f>
        <v>Atende</v>
      </c>
      <c r="S205" s="645"/>
      <c r="T205" s="69"/>
      <c r="U205" s="388"/>
      <c r="V205" s="1"/>
    </row>
    <row r="206" spans="1:33" ht="15.75" thickBot="1" x14ac:dyDescent="0.3">
      <c r="A206" s="1"/>
      <c r="B206" s="13"/>
      <c r="C206" s="60"/>
      <c r="D206" s="15"/>
      <c r="E206" s="15"/>
      <c r="F206" s="15"/>
      <c r="G206" s="16"/>
      <c r="H206" s="1"/>
      <c r="I206" s="17"/>
      <c r="J206" s="69"/>
      <c r="K206" s="28"/>
      <c r="L206" s="168" t="s">
        <v>150</v>
      </c>
      <c r="M206" s="169"/>
      <c r="N206" s="169"/>
      <c r="O206" s="415" t="s">
        <v>144</v>
      </c>
      <c r="P206" s="154">
        <v>30</v>
      </c>
      <c r="Q206" s="155">
        <f>P185</f>
        <v>3</v>
      </c>
      <c r="R206" s="644" t="str">
        <f>IF(S195="????","????",IF(Q206&lt;=O206,"Atende","Não Atende"))</f>
        <v>Atende</v>
      </c>
      <c r="S206" s="645"/>
      <c r="T206" s="69"/>
      <c r="U206" s="388"/>
      <c r="V206" s="1"/>
    </row>
    <row r="207" spans="1:33" ht="15.75" thickBot="1" x14ac:dyDescent="0.3">
      <c r="A207" s="1"/>
      <c r="B207" s="13"/>
      <c r="C207" s="60"/>
      <c r="D207" s="15"/>
      <c r="E207" s="15"/>
      <c r="F207" s="15"/>
      <c r="G207" s="16"/>
      <c r="H207" s="1"/>
      <c r="I207" s="17"/>
      <c r="J207" s="69"/>
      <c r="K207" s="28"/>
      <c r="L207" s="168" t="s">
        <v>285</v>
      </c>
      <c r="M207" s="169"/>
      <c r="N207" s="169"/>
      <c r="O207" s="415" t="s">
        <v>144</v>
      </c>
      <c r="P207" s="415" t="s">
        <v>144</v>
      </c>
      <c r="Q207" s="155">
        <f>S185</f>
        <v>8.4</v>
      </c>
      <c r="R207" s="663" t="str">
        <f>IF(S195="????","????","----")</f>
        <v>----</v>
      </c>
      <c r="S207" s="664"/>
      <c r="T207" s="69"/>
      <c r="U207" s="388"/>
      <c r="V207" s="1"/>
    </row>
    <row r="208" spans="1:33" ht="15.75" thickBot="1" x14ac:dyDescent="0.3">
      <c r="A208" s="1"/>
      <c r="B208" s="13"/>
      <c r="C208" s="60"/>
      <c r="D208" s="15"/>
      <c r="E208" s="15"/>
      <c r="F208" s="15"/>
      <c r="G208" s="16"/>
      <c r="H208" s="1"/>
      <c r="I208" s="17"/>
      <c r="J208" s="69"/>
      <c r="K208" s="28"/>
      <c r="L208" s="411" t="s">
        <v>286</v>
      </c>
      <c r="M208" s="169"/>
      <c r="N208" s="169"/>
      <c r="O208" s="415" t="s">
        <v>144</v>
      </c>
      <c r="P208" s="154" t="s">
        <v>144</v>
      </c>
      <c r="Q208" s="155">
        <f>Y168</f>
        <v>4</v>
      </c>
      <c r="R208" s="663" t="str">
        <f>IF(S195="????","????","----")</f>
        <v>----</v>
      </c>
      <c r="S208" s="664"/>
      <c r="T208" s="69"/>
      <c r="U208" s="388"/>
      <c r="V208" s="1"/>
      <c r="Z208" s="458" t="s">
        <v>288</v>
      </c>
      <c r="AA208" s="458">
        <f>IF(S195="2:1",S185*S189,IF(S195="1:1",S185*S189,"????"))</f>
        <v>33.6</v>
      </c>
      <c r="AC208" s="496">
        <f>S185</f>
        <v>8.4</v>
      </c>
      <c r="AF208" s="496" t="str">
        <f>IF(OR(S193=2,S193=3),(AA208*AC208),"????")</f>
        <v>????</v>
      </c>
    </row>
    <row r="209" spans="1:26" ht="15.75" thickBot="1" x14ac:dyDescent="0.3">
      <c r="A209" s="1"/>
      <c r="B209" s="13"/>
      <c r="C209" s="60"/>
      <c r="D209" s="15"/>
      <c r="E209" s="15"/>
      <c r="F209" s="15"/>
      <c r="G209" s="16"/>
      <c r="H209" s="1"/>
      <c r="I209" s="17"/>
      <c r="J209" s="69"/>
      <c r="K209" s="28"/>
      <c r="L209" s="411" t="s">
        <v>287</v>
      </c>
      <c r="M209" s="169"/>
      <c r="N209" s="169"/>
      <c r="O209" s="415">
        <f>S173</f>
        <v>28</v>
      </c>
      <c r="P209" s="154" t="s">
        <v>144</v>
      </c>
      <c r="Q209" s="155">
        <f>AA208</f>
        <v>33.6</v>
      </c>
      <c r="R209" s="644" t="str">
        <f>IF(S195="????","????",IF(Q209&gt;=O209,"Atende","Não atende"))</f>
        <v>Atende</v>
      </c>
      <c r="S209" s="645"/>
      <c r="T209" s="69"/>
      <c r="U209" s="388"/>
      <c r="V209" s="1"/>
    </row>
    <row r="210" spans="1:26" x14ac:dyDescent="0.25">
      <c r="A210" s="1"/>
      <c r="B210" s="13"/>
      <c r="C210" s="60"/>
      <c r="D210" s="15"/>
      <c r="E210" s="15"/>
      <c r="F210" s="15"/>
      <c r="G210" s="16"/>
      <c r="H210" s="1"/>
      <c r="I210" s="17"/>
      <c r="J210" s="28"/>
      <c r="K210" s="28"/>
      <c r="L210" s="391" t="str">
        <f>IF(N121="vala de infiltração",IF(R203="Não atende","*A relação deve resultar em 1:1 ou 2:1"," ")," ")</f>
        <v xml:space="preserve"> </v>
      </c>
      <c r="M210" s="69"/>
      <c r="N210" s="69"/>
      <c r="O210" s="69"/>
      <c r="P210" s="507"/>
      <c r="Q210" s="507"/>
      <c r="R210" s="507"/>
      <c r="S210" s="406"/>
      <c r="T210" s="69"/>
      <c r="U210" s="388"/>
      <c r="V210" s="1"/>
    </row>
    <row r="211" spans="1:26" ht="21" customHeight="1" x14ac:dyDescent="0.25">
      <c r="A211" s="1"/>
      <c r="B211" s="13"/>
      <c r="C211" s="60"/>
      <c r="D211" s="15"/>
      <c r="E211" s="15"/>
      <c r="F211" s="15"/>
      <c r="G211" s="16"/>
      <c r="H211" s="1"/>
      <c r="I211" s="17"/>
      <c r="J211" s="28"/>
      <c r="K211" s="28"/>
      <c r="L211" s="69"/>
      <c r="M211" s="69"/>
      <c r="N211" s="69"/>
      <c r="O211" s="69"/>
      <c r="P211" s="671"/>
      <c r="Q211" s="671"/>
      <c r="R211" s="671"/>
      <c r="S211" s="165"/>
      <c r="T211" s="69"/>
      <c r="U211" s="388"/>
      <c r="V211" s="1"/>
    </row>
    <row r="212" spans="1:26" ht="15.75" thickBot="1" x14ac:dyDescent="0.3">
      <c r="A212" s="1"/>
      <c r="B212" s="50"/>
      <c r="C212" s="98"/>
      <c r="D212" s="113"/>
      <c r="E212" s="113"/>
      <c r="F212" s="113"/>
      <c r="G212" s="114"/>
      <c r="H212" s="1"/>
      <c r="I212" s="115"/>
      <c r="J212" s="417"/>
      <c r="K212" s="417"/>
      <c r="L212" s="416"/>
      <c r="M212" s="416"/>
      <c r="N212" s="416"/>
      <c r="O212" s="416"/>
      <c r="P212" s="423"/>
      <c r="Q212" s="423"/>
      <c r="R212" s="423"/>
      <c r="S212" s="424"/>
      <c r="T212" s="416"/>
      <c r="U212" s="418"/>
      <c r="V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2"/>
      <c r="L213" s="1"/>
      <c r="M213" s="1"/>
      <c r="N213" s="1"/>
      <c r="O213" s="1"/>
      <c r="P213" s="1"/>
      <c r="Q213" s="2"/>
      <c r="R213" s="1"/>
      <c r="S213" s="1"/>
      <c r="T213" s="1"/>
      <c r="U213" s="1"/>
      <c r="V213" s="1"/>
    </row>
    <row r="214" spans="1:26" x14ac:dyDescent="0.25">
      <c r="G214"/>
      <c r="H214"/>
      <c r="I214"/>
    </row>
    <row r="215" spans="1:26" x14ac:dyDescent="0.25">
      <c r="G215"/>
      <c r="H215"/>
      <c r="I215"/>
      <c r="Z215" s="458">
        <v>1.61</v>
      </c>
    </row>
    <row r="216" spans="1:26" x14ac:dyDescent="0.25">
      <c r="G216"/>
      <c r="H216"/>
      <c r="I216"/>
      <c r="Z216" s="458">
        <f>(3.1416*(Z215*Z215))/4</f>
        <v>2.0358353400000002</v>
      </c>
    </row>
    <row r="217" spans="1:26" x14ac:dyDescent="0.25">
      <c r="G217"/>
      <c r="H217"/>
      <c r="I217"/>
    </row>
    <row r="218" spans="1:26" x14ac:dyDescent="0.25">
      <c r="G218"/>
      <c r="H218"/>
      <c r="I218"/>
      <c r="Z218" s="458" t="s">
        <v>329</v>
      </c>
    </row>
    <row r="219" spans="1:26" x14ac:dyDescent="0.25">
      <c r="G219"/>
      <c r="H219"/>
      <c r="I219"/>
    </row>
    <row r="220" spans="1:26" x14ac:dyDescent="0.25">
      <c r="G220"/>
      <c r="I220"/>
    </row>
    <row r="221" spans="1:26" x14ac:dyDescent="0.25">
      <c r="G221"/>
      <c r="I221"/>
    </row>
    <row r="222" spans="1:26" x14ac:dyDescent="0.25">
      <c r="G222"/>
      <c r="I222"/>
    </row>
    <row r="223" spans="1:26" x14ac:dyDescent="0.25">
      <c r="G223"/>
      <c r="I223"/>
    </row>
    <row r="224" spans="1:26" x14ac:dyDescent="0.25">
      <c r="G224"/>
      <c r="I224"/>
    </row>
    <row r="225" spans="7:9" x14ac:dyDescent="0.25">
      <c r="G225"/>
      <c r="I225"/>
    </row>
    <row r="226" spans="7:9" x14ac:dyDescent="0.25">
      <c r="G226"/>
      <c r="I226"/>
    </row>
    <row r="227" spans="7:9" x14ac:dyDescent="0.25">
      <c r="G227"/>
      <c r="I227"/>
    </row>
    <row r="228" spans="7:9" x14ac:dyDescent="0.25">
      <c r="G228"/>
      <c r="I228"/>
    </row>
    <row r="229" spans="7:9" x14ac:dyDescent="0.25">
      <c r="G229"/>
      <c r="I229"/>
    </row>
    <row r="230" spans="7:9" x14ac:dyDescent="0.25">
      <c r="G230"/>
      <c r="I230"/>
    </row>
    <row r="231" spans="7:9" x14ac:dyDescent="0.25">
      <c r="G231"/>
      <c r="I231"/>
    </row>
    <row r="232" spans="7:9" x14ac:dyDescent="0.25">
      <c r="G232"/>
      <c r="I232"/>
    </row>
    <row r="233" spans="7:9" x14ac:dyDescent="0.25">
      <c r="G233"/>
      <c r="I233"/>
    </row>
    <row r="234" spans="7:9" x14ac:dyDescent="0.25">
      <c r="G234"/>
      <c r="I234"/>
    </row>
    <row r="235" spans="7:9" x14ac:dyDescent="0.25">
      <c r="G235"/>
      <c r="I235"/>
    </row>
    <row r="236" spans="7:9" x14ac:dyDescent="0.25">
      <c r="G236"/>
      <c r="I236"/>
    </row>
    <row r="237" spans="7:9" x14ac:dyDescent="0.25">
      <c r="G237"/>
      <c r="I237"/>
    </row>
    <row r="238" spans="7:9" x14ac:dyDescent="0.25">
      <c r="G238"/>
      <c r="I238"/>
    </row>
    <row r="239" spans="7:9" x14ac:dyDescent="0.25">
      <c r="I239"/>
    </row>
    <row r="241" spans="10:10" x14ac:dyDescent="0.25">
      <c r="J241" s="21"/>
    </row>
  </sheetData>
  <sheetProtection algorithmName="SHA-512" hashValue="279oMcSKDq/TbUqv1NVbNmFcqNZKaaM5zwaRPypU9vPWMipJPdrfhJL6Gh9oEO77tmGjw/4zGVMKfOb41gJRqw==" saltValue="QQJ2zLoXLKxkMQrWT3PpKQ==" spinCount="100000" sheet="1" objects="1" scenarios="1" selectLockedCells="1"/>
  <dataConsolidate/>
  <mergeCells count="107">
    <mergeCell ref="C43:C44"/>
    <mergeCell ref="D43:E43"/>
    <mergeCell ref="C70:C71"/>
    <mergeCell ref="N71:O71"/>
    <mergeCell ref="C55:C56"/>
    <mergeCell ref="D55:F55"/>
    <mergeCell ref="AP45:AP46"/>
    <mergeCell ref="N55:O55"/>
    <mergeCell ref="N57:O57"/>
    <mergeCell ref="Y87:AC87"/>
    <mergeCell ref="AD87:AF87"/>
    <mergeCell ref="AG87:AI87"/>
    <mergeCell ref="AJ87:AN87"/>
    <mergeCell ref="Y86:AC86"/>
    <mergeCell ref="AD86:AF86"/>
    <mergeCell ref="AG86:AI86"/>
    <mergeCell ref="AJ86:AN86"/>
    <mergeCell ref="Z43:Z44"/>
    <mergeCell ref="AD83:AI83"/>
    <mergeCell ref="AJ83:AN84"/>
    <mergeCell ref="AD84:AF84"/>
    <mergeCell ref="AG84:AI84"/>
    <mergeCell ref="Y85:AC85"/>
    <mergeCell ref="AD85:AF85"/>
    <mergeCell ref="AG85:AI85"/>
    <mergeCell ref="AJ85:AN85"/>
    <mergeCell ref="Y83:AC84"/>
    <mergeCell ref="AM58:AO58"/>
    <mergeCell ref="AM59:AO59"/>
    <mergeCell ref="AM61:AO61"/>
    <mergeCell ref="AB58:AD58"/>
    <mergeCell ref="AJ104:AK104"/>
    <mergeCell ref="Y105:AC106"/>
    <mergeCell ref="AD105:AI105"/>
    <mergeCell ref="AJ105:AN106"/>
    <mergeCell ref="AD106:AF106"/>
    <mergeCell ref="AG106:AI106"/>
    <mergeCell ref="R106:S106"/>
    <mergeCell ref="R107:S107"/>
    <mergeCell ref="Y107:AC107"/>
    <mergeCell ref="AD107:AF107"/>
    <mergeCell ref="AG107:AI107"/>
    <mergeCell ref="AJ107:AN107"/>
    <mergeCell ref="Y88:AC88"/>
    <mergeCell ref="AD88:AF88"/>
    <mergeCell ref="AG88:AI88"/>
    <mergeCell ref="AJ88:AN88"/>
    <mergeCell ref="N103:O103"/>
    <mergeCell ref="Y89:AC89"/>
    <mergeCell ref="AD89:AF89"/>
    <mergeCell ref="AJ89:AN89"/>
    <mergeCell ref="AJ103:AK103"/>
    <mergeCell ref="AD108:AF108"/>
    <mergeCell ref="AG108:AI108"/>
    <mergeCell ref="AJ108:AN108"/>
    <mergeCell ref="M153:N154"/>
    <mergeCell ref="O153:P153"/>
    <mergeCell ref="Q153:Q154"/>
    <mergeCell ref="R153:R154"/>
    <mergeCell ref="Y109:AC109"/>
    <mergeCell ref="AD109:AF109"/>
    <mergeCell ref="AG109:AI109"/>
    <mergeCell ref="AJ109:AN109"/>
    <mergeCell ref="Y110:AC110"/>
    <mergeCell ref="AD110:AF110"/>
    <mergeCell ref="AG110:AI110"/>
    <mergeCell ref="AJ110:AN110"/>
    <mergeCell ref="N121:O121"/>
    <mergeCell ref="M112:N113"/>
    <mergeCell ref="O112:P112"/>
    <mergeCell ref="Q112:Q113"/>
    <mergeCell ref="AD111:AF111"/>
    <mergeCell ref="AJ111:AN111"/>
    <mergeCell ref="Y108:AC108"/>
    <mergeCell ref="R207:S207"/>
    <mergeCell ref="R208:S208"/>
    <mergeCell ref="R209:S209"/>
    <mergeCell ref="L201:N202"/>
    <mergeCell ref="O201:P201"/>
    <mergeCell ref="R201:S202"/>
    <mergeCell ref="P211:R211"/>
    <mergeCell ref="P200:R200"/>
    <mergeCell ref="Y111:AC111"/>
    <mergeCell ref="K135:M135"/>
    <mergeCell ref="N135:O135"/>
    <mergeCell ref="P151:Q151"/>
    <mergeCell ref="R203:S203"/>
    <mergeCell ref="R112:R113"/>
    <mergeCell ref="E3:M3"/>
    <mergeCell ref="E5:F5"/>
    <mergeCell ref="E8:M8"/>
    <mergeCell ref="E10:F10"/>
    <mergeCell ref="I12:M12"/>
    <mergeCell ref="F14:M14"/>
    <mergeCell ref="R204:S204"/>
    <mergeCell ref="R205:S205"/>
    <mergeCell ref="R206:S206"/>
    <mergeCell ref="K19:O20"/>
    <mergeCell ref="N25:P25"/>
    <mergeCell ref="N26:P26"/>
    <mergeCell ref="N28:P28"/>
    <mergeCell ref="N29:P29"/>
    <mergeCell ref="R74:S74"/>
    <mergeCell ref="R75:S75"/>
    <mergeCell ref="O80:P80"/>
    <mergeCell ref="Q80:Q81"/>
    <mergeCell ref="R80:R81"/>
  </mergeCells>
  <conditionalFormatting sqref="I25">
    <cfRule type="expression" dxfId="29" priority="43">
      <formula>#REF!&lt;#REF!</formula>
    </cfRule>
  </conditionalFormatting>
  <conditionalFormatting sqref="I184:S186 I187:T188 I200:T200 I201:L201 O201 Q201:R201 O202:Q202 I202:K203 I204:R209">
    <cfRule type="expression" dxfId="28" priority="9">
      <formula>$Q$130="sumidouro"</formula>
    </cfRule>
  </conditionalFormatting>
  <conditionalFormatting sqref="I189:S199">
    <cfRule type="expression" dxfId="27" priority="7">
      <formula>$Q$130="sumidouro"</formula>
    </cfRule>
  </conditionalFormatting>
  <conditionalFormatting sqref="I123:U162">
    <cfRule type="expression" dxfId="26" priority="20" stopIfTrue="1">
      <formula>$N$121&lt;&gt;"sumidouro"</formula>
    </cfRule>
  </conditionalFormatting>
  <conditionalFormatting sqref="I164:U202">
    <cfRule type="expression" dxfId="25" priority="3">
      <formula>$N$121="sumidouro"</formula>
    </cfRule>
  </conditionalFormatting>
  <conditionalFormatting sqref="I204:U212 I203:Q203 I175:I183 U175:U209">
    <cfRule type="expression" dxfId="24" priority="19">
      <formula>$N$121="sumidouro"</formula>
    </cfRule>
  </conditionalFormatting>
  <conditionalFormatting sqref="J74:S74 J75:M75 O75:S75 O76">
    <cfRule type="expression" dxfId="23" priority="36">
      <formula>$N$71="prismático"</formula>
    </cfRule>
  </conditionalFormatting>
  <conditionalFormatting sqref="J77:S78">
    <cfRule type="expression" dxfId="22" priority="41">
      <formula>$N$71="cilíndrico"</formula>
    </cfRule>
  </conditionalFormatting>
  <conditionalFormatting sqref="J106:S107">
    <cfRule type="expression" dxfId="21" priority="40">
      <formula>$N$103="prismático"</formula>
    </cfRule>
  </conditionalFormatting>
  <conditionalFormatting sqref="J109:S110">
    <cfRule type="expression" dxfId="20" priority="39">
      <formula>$N$103="cilíndrico"</formula>
    </cfRule>
  </conditionalFormatting>
  <conditionalFormatting sqref="J138:S141 J142:M142 O142:S142">
    <cfRule type="expression" dxfId="19" priority="38">
      <formula>$N$135="prismático"</formula>
    </cfRule>
  </conditionalFormatting>
  <conditionalFormatting sqref="J145:S148 J149:M149 O149:S149">
    <cfRule type="expression" dxfId="18" priority="37">
      <formula>$N$135="cilíndrico"</formula>
    </cfRule>
  </conditionalFormatting>
  <conditionalFormatting sqref="J175:T183">
    <cfRule type="expression" dxfId="17" priority="8">
      <formula>$Q$130="sumidouro"</formula>
    </cfRule>
  </conditionalFormatting>
  <conditionalFormatting sqref="L203">
    <cfRule type="expression" dxfId="16" priority="5">
      <formula>$N$114="sumidouro"</formula>
    </cfRule>
  </conditionalFormatting>
  <conditionalFormatting sqref="L204:L209">
    <cfRule type="expression" dxfId="15" priority="10">
      <formula>$N$114="sumidouro"</formula>
    </cfRule>
  </conditionalFormatting>
  <conditionalFormatting sqref="L210">
    <cfRule type="expression" dxfId="14" priority="6">
      <formula>$Q$130="sumidouro"</formula>
    </cfRule>
  </conditionalFormatting>
  <conditionalFormatting sqref="L203:S203">
    <cfRule type="expression" dxfId="13" priority="2">
      <formula>$Q$130="sumidouro"</formula>
    </cfRule>
  </conditionalFormatting>
  <conditionalFormatting sqref="N142">
    <cfRule type="expression" dxfId="12" priority="27">
      <formula>$N$121&lt;&gt;"sumidouro"</formula>
    </cfRule>
    <cfRule type="expression" dxfId="11" priority="22">
      <formula>$N$135="prismático"</formula>
    </cfRule>
  </conditionalFormatting>
  <conditionalFormatting sqref="N149">
    <cfRule type="expression" dxfId="10" priority="21">
      <formula>$N$135="cilíndrico"</formula>
    </cfRule>
    <cfRule type="expression" dxfId="9" priority="26">
      <formula>$N$121&lt;&gt;"sumidouro"</formula>
    </cfRule>
  </conditionalFormatting>
  <conditionalFormatting sqref="P135">
    <cfRule type="expression" dxfId="8" priority="28">
      <formula>$N$121&lt;&gt;"sumidouro"</formula>
    </cfRule>
  </conditionalFormatting>
  <conditionalFormatting sqref="P141:S142">
    <cfRule type="expression" dxfId="7" priority="35">
      <formula>$N$141="não"</formula>
    </cfRule>
  </conditionalFormatting>
  <conditionalFormatting sqref="P148:S149">
    <cfRule type="expression" dxfId="6" priority="34">
      <formula>$N$148="não"</formula>
    </cfRule>
  </conditionalFormatting>
  <conditionalFormatting sqref="Q126">
    <cfRule type="expression" dxfId="5" priority="24">
      <formula>$N$121&lt;&gt;"sumidouro"</formula>
    </cfRule>
  </conditionalFormatting>
  <conditionalFormatting sqref="R151">
    <cfRule type="expression" dxfId="4" priority="25">
      <formula>$N$121&lt;&gt;"sumidouro"</formula>
    </cfRule>
  </conditionalFormatting>
  <conditionalFormatting sqref="R203:U203">
    <cfRule type="expression" dxfId="3" priority="1">
      <formula>$N$121="sumidouro"</formula>
    </cfRule>
  </conditionalFormatting>
  <conditionalFormatting sqref="AO17:AO18">
    <cfRule type="expression" dxfId="2" priority="42">
      <formula>#REF!&lt;#REF!</formula>
    </cfRule>
  </conditionalFormatting>
  <conditionalFormatting sqref="AQ63 AH69:AH71">
    <cfRule type="expression" dxfId="1" priority="44">
      <formula>#REF!&lt;#REF!</formula>
    </cfRule>
  </conditionalFormatting>
  <dataValidations count="12">
    <dataValidation type="list" allowBlank="1" showInputMessage="1" showErrorMessage="1" sqref="W105 N121" xr:uid="{00000000-0002-0000-0000-000000000000}">
      <formula1>$Y$96:$Y$97</formula1>
    </dataValidation>
    <dataValidation type="list" allowBlank="1" showInputMessage="1" showErrorMessage="1" sqref="P151:Q151 S199" xr:uid="{00000000-0002-0000-0000-000001000000}">
      <formula1>$Y$118:$Y$120</formula1>
    </dataValidation>
    <dataValidation type="list" allowBlank="1" showInputMessage="1" showErrorMessage="1" sqref="N141 N148" xr:uid="{00000000-0002-0000-0000-000002000000}">
      <formula1>$Z$54:$Z$55</formula1>
    </dataValidation>
    <dataValidation type="list" allowBlank="1" showInputMessage="1" showErrorMessage="1" sqref="N57:O57" xr:uid="{00000000-0002-0000-0000-000003000000}">
      <formula1>$Z$45:$Z$49</formula1>
    </dataValidation>
    <dataValidation type="list" allowBlank="1" showInputMessage="1" showErrorMessage="1" sqref="N71 N103:O103 O71:O72 N135:O135" xr:uid="{00000000-0002-0000-0000-000004000000}">
      <formula1>$Y$54:$Y$55</formula1>
    </dataValidation>
    <dataValidation type="list" allowBlank="1" showInputMessage="1" showErrorMessage="1" sqref="M56" xr:uid="{00000000-0002-0000-0000-000005000000}">
      <formula1>$AT$28:$AT$34</formula1>
    </dataValidation>
    <dataValidation type="list" allowBlank="1" showInputMessage="1" showErrorMessage="1" sqref="M53:O54" xr:uid="{00000000-0002-0000-0000-000006000000}">
      <formula1>$AP$45:$AP$51</formula1>
    </dataValidation>
    <dataValidation type="list" allowBlank="1" showInputMessage="1" showErrorMessage="1" sqref="N26:P27" xr:uid="{00000000-0002-0000-0000-000007000000}">
      <formula1>$Y$11:$Y$24</formula1>
    </dataValidation>
    <dataValidation type="list" allowBlank="1" showInputMessage="1" showErrorMessage="1" sqref="S94" xr:uid="{00000000-0002-0000-0000-000008000000}">
      <formula1>$AA$76:$AA$77</formula1>
    </dataValidation>
    <dataValidation type="list" allowBlank="1" showInputMessage="1" showErrorMessage="1" sqref="F13" xr:uid="{00000000-0002-0000-0000-000009000000}">
      <formula1>$Z$1:$Z$2</formula1>
    </dataValidation>
    <dataValidation type="list" allowBlank="1" showInputMessage="1" showErrorMessage="1" sqref="F12" xr:uid="{00000000-0002-0000-0000-00000A000000}">
      <formula1>$Y$32:$Y$33</formula1>
    </dataValidation>
    <dataValidation type="list" allowBlank="1" showInputMessage="1" showErrorMessage="1" sqref="N29:P29" xr:uid="{00000000-0002-0000-0000-00000B000000}">
      <formula1>$Y$10:$Y$24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61"/>
  <sheetViews>
    <sheetView showWhiteSpace="0" view="pageLayout" zoomScaleNormal="100" workbookViewId="0">
      <selection activeCell="AD74" sqref="AD74"/>
    </sheetView>
  </sheetViews>
  <sheetFormatPr defaultRowHeight="15" x14ac:dyDescent="0.25"/>
  <cols>
    <col min="1" max="1" width="1.28515625" customWidth="1"/>
    <col min="2" max="2" width="2.140625" customWidth="1"/>
    <col min="3" max="3" width="4" customWidth="1"/>
    <col min="4" max="5" width="3.42578125" customWidth="1"/>
    <col min="6" max="6" width="4.5703125" customWidth="1"/>
    <col min="7" max="7" width="17" customWidth="1"/>
    <col min="8" max="8" width="4.5703125" customWidth="1"/>
    <col min="9" max="9" width="1.140625" customWidth="1"/>
    <col min="10" max="11" width="3.140625" customWidth="1"/>
    <col min="12" max="12" width="3.5703125" customWidth="1"/>
    <col min="13" max="13" width="5" customWidth="1"/>
    <col min="14" max="14" width="4" customWidth="1"/>
    <col min="15" max="15" width="3.140625" customWidth="1"/>
    <col min="16" max="16" width="3.85546875" customWidth="1"/>
    <col min="17" max="17" width="5.42578125" customWidth="1"/>
    <col min="18" max="18" width="2" customWidth="1"/>
    <col min="19" max="19" width="3" customWidth="1"/>
    <col min="20" max="20" width="3.7109375" customWidth="1"/>
    <col min="21" max="21" width="4.28515625" customWidth="1"/>
    <col min="22" max="22" width="2" customWidth="1"/>
    <col min="23" max="23" width="0.85546875" customWidth="1"/>
    <col min="24" max="24" width="1.28515625" customWidth="1"/>
    <col min="25" max="25" width="2.28515625" customWidth="1"/>
    <col min="26" max="26" width="3.5703125" customWidth="1"/>
    <col min="27" max="27" width="1" customWidth="1"/>
  </cols>
  <sheetData>
    <row r="1" spans="1:29" ht="23.25" customHeight="1" x14ac:dyDescent="0.25">
      <c r="D1" s="750" t="s">
        <v>250</v>
      </c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  <c r="T1" s="750"/>
      <c r="U1" s="750"/>
      <c r="V1" s="750"/>
      <c r="W1" s="750"/>
    </row>
    <row r="2" spans="1:29" ht="9" customHeight="1" x14ac:dyDescent="0.25"/>
    <row r="3" spans="1:29" ht="19.5" customHeight="1" x14ac:dyDescent="0.25">
      <c r="B3" s="232" t="s">
        <v>251</v>
      </c>
      <c r="C3" s="363"/>
      <c r="D3" s="363"/>
      <c r="E3" s="363"/>
      <c r="F3" s="363"/>
      <c r="G3" s="363"/>
      <c r="H3" s="36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</row>
    <row r="4" spans="1:29" ht="9" customHeight="1" x14ac:dyDescent="0.25">
      <c r="B4" s="232"/>
      <c r="C4" s="233"/>
      <c r="D4" s="233"/>
      <c r="E4" s="233"/>
      <c r="F4" s="233"/>
      <c r="G4" s="233"/>
      <c r="H4" s="233"/>
      <c r="I4" s="233"/>
      <c r="Q4" s="233"/>
      <c r="S4" s="233"/>
      <c r="T4" s="233"/>
      <c r="U4" s="233"/>
      <c r="V4" s="233"/>
      <c r="W4" s="233"/>
      <c r="X4" s="234"/>
      <c r="Y4" s="233"/>
    </row>
    <row r="5" spans="1:29" ht="12" customHeight="1" x14ac:dyDescent="0.25">
      <c r="B5" s="235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7"/>
    </row>
    <row r="6" spans="1:29" ht="22.5" customHeight="1" x14ac:dyDescent="0.25">
      <c r="B6" s="238"/>
      <c r="C6" s="364" t="s">
        <v>257</v>
      </c>
      <c r="D6" s="365"/>
      <c r="E6" s="365"/>
      <c r="F6" s="365"/>
      <c r="G6" s="239"/>
      <c r="H6" s="239"/>
      <c r="J6" s="761" t="str">
        <f>Dados!N26</f>
        <v>Fábrica em geral</v>
      </c>
      <c r="K6" s="761"/>
      <c r="L6" s="761"/>
      <c r="M6" s="761"/>
      <c r="N6" s="761"/>
      <c r="O6" s="761"/>
      <c r="P6" s="245"/>
      <c r="Q6" s="761" t="str">
        <f>Dados!N29</f>
        <v>Resid. Padrão Médio</v>
      </c>
      <c r="R6" s="761"/>
      <c r="S6" s="761"/>
      <c r="T6" s="761"/>
      <c r="U6" s="761"/>
      <c r="V6" s="761"/>
      <c r="W6" s="761"/>
      <c r="X6" s="233"/>
      <c r="Y6" s="240"/>
    </row>
    <row r="7" spans="1:29" ht="9" customHeight="1" x14ac:dyDescent="0.25">
      <c r="B7" s="194"/>
      <c r="C7" s="212"/>
      <c r="D7" s="241"/>
      <c r="E7" s="241"/>
      <c r="F7" s="241"/>
      <c r="G7" s="242"/>
      <c r="H7" s="242"/>
      <c r="I7" s="241"/>
      <c r="J7" s="242"/>
      <c r="K7" s="242"/>
      <c r="L7" s="242"/>
      <c r="M7" s="242"/>
      <c r="N7" s="212"/>
      <c r="O7" s="212"/>
      <c r="P7" s="212"/>
      <c r="Q7" s="209"/>
      <c r="R7" s="242"/>
      <c r="S7" s="242"/>
      <c r="T7" s="242"/>
      <c r="U7" s="242"/>
      <c r="V7" s="212"/>
      <c r="W7" s="212"/>
      <c r="X7" s="212"/>
      <c r="Y7" s="243"/>
    </row>
    <row r="8" spans="1:29" ht="15" customHeight="1" x14ac:dyDescent="0.25">
      <c r="B8" s="194"/>
      <c r="C8" s="244" t="s">
        <v>254</v>
      </c>
      <c r="D8" s="245"/>
      <c r="E8" s="245"/>
      <c r="F8" s="245"/>
      <c r="G8" s="244"/>
      <c r="H8" s="244"/>
      <c r="I8" s="244"/>
      <c r="L8" s="811">
        <f>Dados!S26</f>
        <v>70</v>
      </c>
      <c r="M8" s="812"/>
      <c r="N8" s="211" t="str">
        <f>Dados!R26</f>
        <v>litros/pessoa</v>
      </c>
      <c r="O8" s="211"/>
      <c r="Q8" s="212"/>
      <c r="R8" s="811">
        <f>Dados!S29</f>
        <v>130</v>
      </c>
      <c r="S8" s="813"/>
      <c r="T8" s="812"/>
      <c r="U8" s="198" t="str">
        <f>Dados!R29</f>
        <v>litros/pessoa</v>
      </c>
      <c r="V8" s="198"/>
      <c r="Y8" s="243"/>
    </row>
    <row r="9" spans="1:29" ht="8.25" customHeight="1" x14ac:dyDescent="0.25">
      <c r="A9" s="172"/>
      <c r="B9" s="194"/>
      <c r="C9" s="246"/>
      <c r="D9" s="246"/>
      <c r="E9" s="246"/>
      <c r="F9" s="246"/>
      <c r="G9" s="246"/>
      <c r="H9" s="246"/>
      <c r="I9" s="246"/>
      <c r="J9" s="242"/>
      <c r="K9" s="242"/>
      <c r="L9" s="242"/>
      <c r="M9" s="209"/>
      <c r="N9" s="211"/>
      <c r="O9" s="211"/>
      <c r="Q9" s="209"/>
      <c r="R9" s="242"/>
      <c r="U9" s="198"/>
      <c r="V9" s="198"/>
      <c r="Y9" s="247"/>
    </row>
    <row r="10" spans="1:29" ht="14.25" customHeight="1" x14ac:dyDescent="0.25">
      <c r="A10" s="172"/>
      <c r="B10" s="194"/>
      <c r="C10" s="244" t="s">
        <v>241</v>
      </c>
      <c r="D10" s="245"/>
      <c r="E10" s="245"/>
      <c r="F10" s="245"/>
      <c r="G10" s="245"/>
      <c r="H10" s="245"/>
      <c r="I10" s="245"/>
      <c r="L10" s="811">
        <f>Dados!S31</f>
        <v>20</v>
      </c>
      <c r="M10" s="812"/>
      <c r="N10" s="211" t="str">
        <f>Dados!R31</f>
        <v>pessoas</v>
      </c>
      <c r="O10" s="211"/>
      <c r="Q10" s="212"/>
      <c r="R10" s="811">
        <f>IF(R8=0,0,Dados!S33)</f>
        <v>0</v>
      </c>
      <c r="S10" s="813"/>
      <c r="T10" s="812"/>
      <c r="U10" s="198" t="str">
        <f>Dados!R33</f>
        <v>pessoas</v>
      </c>
      <c r="V10" s="198"/>
      <c r="Y10" s="243"/>
    </row>
    <row r="11" spans="1:29" ht="7.5" customHeight="1" x14ac:dyDescent="0.25">
      <c r="A11" s="172"/>
      <c r="B11" s="194"/>
      <c r="C11" s="244"/>
      <c r="D11" s="245"/>
      <c r="E11" s="245"/>
      <c r="F11" s="245"/>
      <c r="G11" s="248"/>
      <c r="H11" s="248"/>
      <c r="I11" s="245"/>
      <c r="J11" s="242"/>
      <c r="K11" s="242"/>
      <c r="L11" s="242"/>
      <c r="M11" s="209"/>
      <c r="N11" s="211"/>
      <c r="O11" s="211"/>
      <c r="Q11" s="209"/>
      <c r="R11" s="242"/>
      <c r="U11" s="198"/>
      <c r="V11" s="198"/>
      <c r="Y11" s="247"/>
    </row>
    <row r="12" spans="1:29" ht="16.5" customHeight="1" x14ac:dyDescent="0.25">
      <c r="B12" s="194"/>
      <c r="C12" s="244" t="s">
        <v>255</v>
      </c>
      <c r="D12" s="245"/>
      <c r="E12" s="245"/>
      <c r="F12" s="245"/>
      <c r="G12" s="249"/>
      <c r="H12" s="249"/>
      <c r="I12" s="250"/>
      <c r="L12" s="773">
        <f>Dados!S35</f>
        <v>1400</v>
      </c>
      <c r="M12" s="775"/>
      <c r="N12" s="211" t="str">
        <f>Dados!R39</f>
        <v>litros/dia</v>
      </c>
      <c r="O12" s="211"/>
      <c r="Q12" s="251"/>
      <c r="R12" s="773">
        <f>Dados!S37</f>
        <v>0</v>
      </c>
      <c r="S12" s="774"/>
      <c r="T12" s="775"/>
      <c r="U12" s="198" t="str">
        <f>Dados!R37</f>
        <v>litros/dia</v>
      </c>
      <c r="V12" s="198"/>
      <c r="Y12" s="252"/>
    </row>
    <row r="13" spans="1:29" ht="6.75" customHeight="1" x14ac:dyDescent="0.25">
      <c r="B13" s="194"/>
      <c r="C13" s="244"/>
      <c r="D13" s="245"/>
      <c r="E13" s="245"/>
      <c r="F13" s="245"/>
      <c r="G13" s="248"/>
      <c r="H13" s="248"/>
      <c r="I13" s="245"/>
      <c r="J13" s="212"/>
      <c r="K13" s="212"/>
      <c r="L13" s="242"/>
      <c r="M13" s="209"/>
      <c r="N13" s="211"/>
      <c r="O13" s="211"/>
      <c r="Q13" s="209"/>
      <c r="R13" s="242"/>
      <c r="U13" s="198"/>
      <c r="V13" s="198"/>
      <c r="Y13" s="247"/>
      <c r="AC13" s="173"/>
    </row>
    <row r="14" spans="1:29" ht="13.5" customHeight="1" x14ac:dyDescent="0.25">
      <c r="B14" s="194"/>
      <c r="C14" s="244" t="s">
        <v>242</v>
      </c>
      <c r="D14" s="245"/>
      <c r="E14" s="245"/>
      <c r="F14" s="245"/>
      <c r="G14" s="249"/>
      <c r="H14" s="249"/>
      <c r="I14" s="250"/>
      <c r="L14" s="811">
        <f>Dados!S41</f>
        <v>0.3</v>
      </c>
      <c r="M14" s="812"/>
      <c r="N14" s="211" t="str">
        <f>Dados!R41</f>
        <v>litros/dia</v>
      </c>
      <c r="O14" s="211"/>
      <c r="Q14" s="212"/>
      <c r="R14" s="811">
        <f>Dados!S43</f>
        <v>1</v>
      </c>
      <c r="S14" s="813"/>
      <c r="T14" s="812"/>
      <c r="U14" s="198" t="str">
        <f>Dados!R43</f>
        <v>litros/dia</v>
      </c>
      <c r="V14" s="198"/>
      <c r="Y14" s="243"/>
    </row>
    <row r="15" spans="1:29" ht="7.5" customHeight="1" x14ac:dyDescent="0.25">
      <c r="B15" s="194"/>
      <c r="C15" s="244"/>
      <c r="D15" s="245"/>
      <c r="E15" s="245"/>
      <c r="F15" s="245"/>
      <c r="G15" s="248"/>
      <c r="H15" s="248"/>
      <c r="I15" s="245"/>
      <c r="J15" s="212"/>
      <c r="K15" s="212"/>
      <c r="L15" s="242"/>
      <c r="M15" s="209"/>
      <c r="N15" s="211"/>
      <c r="O15" s="211"/>
      <c r="Q15" s="209"/>
      <c r="R15" s="242"/>
      <c r="U15" s="198"/>
      <c r="V15" s="198"/>
      <c r="Y15" s="247"/>
    </row>
    <row r="16" spans="1:29" ht="15" customHeight="1" x14ac:dyDescent="0.25">
      <c r="B16" s="253"/>
      <c r="C16" s="254" t="s">
        <v>243</v>
      </c>
      <c r="D16" s="255"/>
      <c r="E16" s="255"/>
      <c r="F16" s="255"/>
      <c r="G16" s="249"/>
      <c r="H16" s="249"/>
      <c r="I16" s="250"/>
      <c r="L16" s="811">
        <f>Dados!S46</f>
        <v>1</v>
      </c>
      <c r="M16" s="812"/>
      <c r="N16" s="211" t="str">
        <f>Dados!R46</f>
        <v>dia</v>
      </c>
      <c r="O16" s="211"/>
      <c r="Q16" s="212"/>
      <c r="R16" s="811">
        <f>IF(R8=0,0,Dados!S46)</f>
        <v>1</v>
      </c>
      <c r="S16" s="813"/>
      <c r="T16" s="812"/>
      <c r="U16" s="198" t="str">
        <f>Dados!R46</f>
        <v>dia</v>
      </c>
      <c r="V16" s="198"/>
      <c r="Y16" s="243"/>
    </row>
    <row r="17" spans="2:25" ht="6" customHeight="1" x14ac:dyDescent="0.25">
      <c r="B17" s="194"/>
      <c r="C17" s="244"/>
      <c r="D17" s="245"/>
      <c r="E17" s="245"/>
      <c r="F17" s="245"/>
      <c r="G17" s="248"/>
      <c r="H17" s="248"/>
      <c r="I17" s="245"/>
      <c r="J17" s="242"/>
      <c r="K17" s="242"/>
      <c r="L17" s="242"/>
      <c r="M17" s="209"/>
      <c r="Q17" s="209"/>
      <c r="R17" s="242"/>
      <c r="U17" s="198"/>
      <c r="V17" s="198"/>
      <c r="Y17" s="247"/>
    </row>
    <row r="18" spans="2:25" ht="15" customHeight="1" x14ac:dyDescent="0.25">
      <c r="B18" s="194"/>
      <c r="C18" s="244" t="s">
        <v>244</v>
      </c>
      <c r="D18" s="245"/>
      <c r="E18" s="245"/>
      <c r="F18" s="245"/>
      <c r="G18" s="256"/>
      <c r="H18" s="256"/>
      <c r="I18" s="250"/>
      <c r="L18" s="811">
        <f>Dados!S56</f>
        <v>225</v>
      </c>
      <c r="M18" s="812"/>
      <c r="Q18" s="212"/>
      <c r="R18" s="811">
        <f>IF(R8=0,0,Dados!S56)</f>
        <v>225</v>
      </c>
      <c r="S18" s="813"/>
      <c r="T18" s="812"/>
      <c r="U18" s="198"/>
      <c r="V18" s="198"/>
      <c r="Y18" s="243"/>
    </row>
    <row r="19" spans="2:25" ht="12" customHeight="1" x14ac:dyDescent="0.25">
      <c r="B19" s="257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58"/>
    </row>
    <row r="20" spans="2:25" ht="12" customHeight="1" x14ac:dyDescent="0.25">
      <c r="B20" s="212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59"/>
      <c r="R20" s="259"/>
      <c r="S20" s="259"/>
      <c r="T20" s="259"/>
      <c r="U20" s="259"/>
      <c r="V20" s="259"/>
      <c r="W20" s="259"/>
      <c r="X20" s="259"/>
      <c r="Y20" s="259"/>
    </row>
    <row r="21" spans="2:25" ht="11.25" customHeight="1" x14ac:dyDescent="0.25">
      <c r="B21" s="260"/>
      <c r="C21" s="261"/>
      <c r="D21" s="261"/>
      <c r="E21" s="261"/>
      <c r="F21" s="261"/>
      <c r="G21" s="261"/>
      <c r="H21" s="261"/>
      <c r="I21" s="261"/>
      <c r="J21" s="262"/>
      <c r="K21" s="262"/>
      <c r="L21" s="263"/>
      <c r="M21" s="263"/>
      <c r="N21" s="263"/>
      <c r="O21" s="263"/>
      <c r="P21" s="263"/>
      <c r="Q21" s="262"/>
      <c r="R21" s="262"/>
      <c r="S21" s="263"/>
      <c r="T21" s="263"/>
      <c r="U21" s="263"/>
      <c r="V21" s="263"/>
      <c r="W21" s="263"/>
      <c r="X21" s="263"/>
      <c r="Y21" s="264"/>
    </row>
    <row r="22" spans="2:25" ht="16.5" customHeight="1" x14ac:dyDescent="0.25">
      <c r="B22" s="204"/>
      <c r="C22" s="364" t="s">
        <v>99</v>
      </c>
      <c r="D22" s="265"/>
      <c r="E22" s="265"/>
      <c r="F22" s="265"/>
      <c r="G22" s="212"/>
      <c r="H22" s="244" t="s">
        <v>245</v>
      </c>
      <c r="I22" s="244"/>
      <c r="J22" s="266"/>
      <c r="K22" s="266"/>
      <c r="L22" s="266"/>
      <c r="M22" s="808" t="str">
        <f>Dados!N71</f>
        <v>Prismático</v>
      </c>
      <c r="N22" s="809"/>
      <c r="O22" s="810"/>
      <c r="P22" s="267"/>
      <c r="Q22" s="267"/>
      <c r="R22" s="244"/>
      <c r="S22" s="244"/>
      <c r="T22" s="244"/>
      <c r="U22" s="259"/>
      <c r="V22" s="259"/>
      <c r="W22" s="259"/>
      <c r="X22" s="259"/>
      <c r="Y22" s="268"/>
    </row>
    <row r="23" spans="2:25" ht="7.5" customHeight="1" x14ac:dyDescent="0.25">
      <c r="B23" s="204"/>
      <c r="C23" s="207"/>
      <c r="D23" s="212"/>
      <c r="E23" s="212"/>
      <c r="F23" s="212"/>
      <c r="G23" s="212"/>
      <c r="H23" s="212"/>
      <c r="I23" s="269"/>
      <c r="J23" s="270"/>
      <c r="K23" s="270"/>
      <c r="L23" s="267"/>
      <c r="M23" s="267"/>
      <c r="N23" s="267"/>
      <c r="O23" s="250"/>
      <c r="P23" s="244"/>
      <c r="Q23" s="244"/>
      <c r="R23" s="244"/>
      <c r="S23" s="244"/>
      <c r="T23" s="244"/>
      <c r="U23" s="259"/>
      <c r="V23" s="259"/>
      <c r="W23" s="259"/>
      <c r="X23" s="259"/>
      <c r="Y23" s="268"/>
    </row>
    <row r="24" spans="2:25" ht="15.75" customHeight="1" x14ac:dyDescent="0.25">
      <c r="B24" s="204"/>
      <c r="C24" s="267"/>
      <c r="D24" s="212"/>
      <c r="E24" s="212"/>
      <c r="F24" s="212"/>
      <c r="G24" s="267"/>
      <c r="H24" s="267" t="s">
        <v>258</v>
      </c>
      <c r="I24" s="267"/>
      <c r="J24" s="267"/>
      <c r="K24" s="267"/>
      <c r="L24" s="271"/>
      <c r="M24" s="773">
        <f>Dados!S69</f>
        <v>3750</v>
      </c>
      <c r="N24" s="774"/>
      <c r="O24" s="775"/>
      <c r="P24" s="244"/>
      <c r="Q24" s="244"/>
      <c r="R24" s="244"/>
      <c r="S24" s="244"/>
      <c r="T24" s="244"/>
      <c r="U24" s="244"/>
      <c r="V24" s="354"/>
      <c r="W24" s="354"/>
      <c r="X24" s="354"/>
      <c r="Y24" s="268"/>
    </row>
    <row r="25" spans="2:25" ht="9.75" customHeight="1" x14ac:dyDescent="0.25">
      <c r="B25" s="204"/>
      <c r="C25" s="212"/>
      <c r="D25" s="212"/>
      <c r="E25" s="212"/>
      <c r="F25" s="212"/>
      <c r="G25" s="212"/>
      <c r="H25" s="212"/>
      <c r="I25" s="272"/>
      <c r="J25" s="273"/>
      <c r="K25" s="273"/>
      <c r="L25" s="267"/>
      <c r="M25" s="244"/>
      <c r="N25" s="244"/>
      <c r="O25" s="245"/>
      <c r="P25" s="267"/>
      <c r="Q25" s="267"/>
      <c r="R25" s="267"/>
      <c r="S25" s="244"/>
      <c r="T25" s="244"/>
      <c r="U25" s="259"/>
      <c r="V25" s="259"/>
      <c r="W25" s="259"/>
      <c r="X25" s="259"/>
      <c r="Y25" s="268"/>
    </row>
    <row r="26" spans="2:25" ht="16.5" customHeight="1" x14ac:dyDescent="0.25">
      <c r="B26" s="194"/>
      <c r="C26" s="751" t="s">
        <v>111</v>
      </c>
      <c r="D26" s="752"/>
      <c r="E26" s="752"/>
      <c r="F26" s="752"/>
      <c r="G26" s="753"/>
      <c r="H26" s="757" t="s">
        <v>112</v>
      </c>
      <c r="I26" s="758"/>
      <c r="J26" s="758"/>
      <c r="K26" s="758"/>
      <c r="L26" s="758"/>
      <c r="M26" s="758"/>
      <c r="N26" s="759"/>
      <c r="O26" s="734" t="s">
        <v>52</v>
      </c>
      <c r="P26" s="735"/>
      <c r="Q26" s="736"/>
      <c r="R26" s="734" t="s">
        <v>140</v>
      </c>
      <c r="S26" s="735"/>
      <c r="T26" s="735"/>
      <c r="U26" s="735"/>
      <c r="V26" s="735"/>
      <c r="W26" s="735"/>
      <c r="X26" s="736"/>
      <c r="Y26" s="268"/>
    </row>
    <row r="27" spans="2:25" ht="15.75" customHeight="1" x14ac:dyDescent="0.25">
      <c r="B27" s="194"/>
      <c r="C27" s="754"/>
      <c r="D27" s="755"/>
      <c r="E27" s="755"/>
      <c r="F27" s="755"/>
      <c r="G27" s="756"/>
      <c r="H27" s="770" t="s">
        <v>114</v>
      </c>
      <c r="I27" s="771"/>
      <c r="J27" s="771"/>
      <c r="K27" s="772"/>
      <c r="L27" s="770" t="s">
        <v>115</v>
      </c>
      <c r="M27" s="771"/>
      <c r="N27" s="772"/>
      <c r="O27" s="737"/>
      <c r="P27" s="738"/>
      <c r="Q27" s="739"/>
      <c r="R27" s="737"/>
      <c r="S27" s="738"/>
      <c r="T27" s="738"/>
      <c r="U27" s="738"/>
      <c r="V27" s="738"/>
      <c r="W27" s="738"/>
      <c r="X27" s="739"/>
      <c r="Y27" s="268"/>
    </row>
    <row r="28" spans="2:25" ht="16.5" customHeight="1" x14ac:dyDescent="0.25">
      <c r="B28" s="194"/>
      <c r="C28" s="274" t="s">
        <v>143</v>
      </c>
      <c r="D28" s="275"/>
      <c r="E28" s="81"/>
      <c r="F28" s="81"/>
      <c r="G28" s="119"/>
      <c r="H28" s="744" t="str">
        <f>Dados!O82</f>
        <v>----</v>
      </c>
      <c r="I28" s="745"/>
      <c r="J28" s="745"/>
      <c r="K28" s="746"/>
      <c r="L28" s="747" t="str">
        <f>Dados!P82</f>
        <v>----</v>
      </c>
      <c r="M28" s="748"/>
      <c r="N28" s="749"/>
      <c r="O28" s="744" t="str">
        <f>Dados!Q82</f>
        <v>-----</v>
      </c>
      <c r="P28" s="745"/>
      <c r="Q28" s="746"/>
      <c r="R28" s="766" t="str">
        <f>Dados!R82</f>
        <v>----</v>
      </c>
      <c r="S28" s="766"/>
      <c r="T28" s="766"/>
      <c r="U28" s="766"/>
      <c r="V28" s="766"/>
      <c r="W28" s="766"/>
      <c r="X28" s="766"/>
      <c r="Y28" s="247"/>
    </row>
    <row r="29" spans="2:25" ht="15" customHeight="1" x14ac:dyDescent="0.25">
      <c r="B29" s="194"/>
      <c r="C29" s="276" t="s">
        <v>146</v>
      </c>
      <c r="D29" s="170"/>
      <c r="E29" s="198"/>
      <c r="F29" s="198"/>
      <c r="G29" s="277"/>
      <c r="H29" s="744">
        <f>Dados!O83</f>
        <v>0.8</v>
      </c>
      <c r="I29" s="745"/>
      <c r="J29" s="745"/>
      <c r="K29" s="746"/>
      <c r="L29" s="747" t="str">
        <f>Dados!P83</f>
        <v>----</v>
      </c>
      <c r="M29" s="748"/>
      <c r="N29" s="749"/>
      <c r="O29" s="744">
        <f>Dados!Q83</f>
        <v>3</v>
      </c>
      <c r="P29" s="745"/>
      <c r="Q29" s="746"/>
      <c r="R29" s="766" t="str">
        <f>Dados!R83</f>
        <v>Atende</v>
      </c>
      <c r="S29" s="766"/>
      <c r="T29" s="766"/>
      <c r="U29" s="766"/>
      <c r="V29" s="766"/>
      <c r="W29" s="766"/>
      <c r="X29" s="766"/>
      <c r="Y29" s="205"/>
    </row>
    <row r="30" spans="2:25" ht="16.5" customHeight="1" x14ac:dyDescent="0.25">
      <c r="B30" s="194"/>
      <c r="C30" s="274" t="s">
        <v>148</v>
      </c>
      <c r="D30" s="275"/>
      <c r="E30" s="81"/>
      <c r="F30" s="81"/>
      <c r="G30" s="119"/>
      <c r="H30" s="744">
        <f>Dados!O84</f>
        <v>1.8</v>
      </c>
      <c r="I30" s="745"/>
      <c r="J30" s="745"/>
      <c r="K30" s="746"/>
      <c r="L30" s="747">
        <f>Dados!P84</f>
        <v>2.8</v>
      </c>
      <c r="M30" s="748"/>
      <c r="N30" s="749"/>
      <c r="O30" s="744">
        <f>Dados!Q84</f>
        <v>4</v>
      </c>
      <c r="P30" s="745"/>
      <c r="Q30" s="746"/>
      <c r="R30" s="766" t="str">
        <f>Dados!R84</f>
        <v>Não Atende</v>
      </c>
      <c r="S30" s="766"/>
      <c r="T30" s="766"/>
      <c r="U30" s="766"/>
      <c r="V30" s="766"/>
      <c r="W30" s="766"/>
      <c r="X30" s="766"/>
      <c r="Y30" s="205"/>
    </row>
    <row r="31" spans="2:25" ht="15.75" customHeight="1" x14ac:dyDescent="0.25">
      <c r="B31" s="194"/>
      <c r="C31" s="276" t="s">
        <v>150</v>
      </c>
      <c r="D31" s="170"/>
      <c r="E31" s="198"/>
      <c r="F31" s="198"/>
      <c r="G31" s="277"/>
      <c r="H31" s="744" t="str">
        <f>Dados!O85</f>
        <v>----</v>
      </c>
      <c r="I31" s="745"/>
      <c r="J31" s="745"/>
      <c r="K31" s="746"/>
      <c r="L31" s="747" t="str">
        <f>Dados!P85</f>
        <v>----</v>
      </c>
      <c r="M31" s="748"/>
      <c r="N31" s="749"/>
      <c r="O31" s="744">
        <f>Dados!Q85</f>
        <v>0.9</v>
      </c>
      <c r="P31" s="745"/>
      <c r="Q31" s="746"/>
      <c r="R31" s="766" t="str">
        <f>Dados!R85</f>
        <v>----</v>
      </c>
      <c r="S31" s="766"/>
      <c r="T31" s="766"/>
      <c r="U31" s="766"/>
      <c r="V31" s="766"/>
      <c r="W31" s="766"/>
      <c r="X31" s="766"/>
      <c r="Y31" s="205"/>
    </row>
    <row r="32" spans="2:25" ht="15.75" customHeight="1" x14ac:dyDescent="0.25">
      <c r="B32" s="194"/>
      <c r="C32" s="274" t="s">
        <v>151</v>
      </c>
      <c r="D32" s="275"/>
      <c r="E32" s="81"/>
      <c r="F32" s="81"/>
      <c r="G32" s="119"/>
      <c r="H32" s="744" t="str">
        <f>Dados!O86</f>
        <v>2:1</v>
      </c>
      <c r="I32" s="745"/>
      <c r="J32" s="745"/>
      <c r="K32" s="746"/>
      <c r="L32" s="747" t="str">
        <f>Dados!P86</f>
        <v>4:1</v>
      </c>
      <c r="M32" s="748"/>
      <c r="N32" s="749"/>
      <c r="O32" s="744">
        <f>Dados!Q86</f>
        <v>0.3</v>
      </c>
      <c r="P32" s="745"/>
      <c r="Q32" s="746"/>
      <c r="R32" s="766" t="str">
        <f>Dados!R86</f>
        <v>Não Atende</v>
      </c>
      <c r="S32" s="766"/>
      <c r="T32" s="766"/>
      <c r="U32" s="766"/>
      <c r="V32" s="766"/>
      <c r="W32" s="766"/>
      <c r="X32" s="766"/>
      <c r="Y32" s="205"/>
    </row>
    <row r="33" spans="2:35" ht="16.5" customHeight="1" x14ac:dyDescent="0.25">
      <c r="B33" s="194"/>
      <c r="C33" s="278" t="s">
        <v>152</v>
      </c>
      <c r="D33" s="279"/>
      <c r="E33" s="280"/>
      <c r="F33" s="280"/>
      <c r="G33" s="281"/>
      <c r="H33" s="805">
        <f>Dados!O87</f>
        <v>3750</v>
      </c>
      <c r="I33" s="806"/>
      <c r="J33" s="806"/>
      <c r="K33" s="807"/>
      <c r="L33" s="747" t="str">
        <f>Dados!P87</f>
        <v>----</v>
      </c>
      <c r="M33" s="748"/>
      <c r="N33" s="749"/>
      <c r="O33" s="805">
        <f>Dados!Q87</f>
        <v>10800</v>
      </c>
      <c r="P33" s="806"/>
      <c r="Q33" s="807"/>
      <c r="R33" s="766" t="str">
        <f>Dados!R87</f>
        <v>Atende</v>
      </c>
      <c r="S33" s="766"/>
      <c r="T33" s="766"/>
      <c r="U33" s="766"/>
      <c r="V33" s="766"/>
      <c r="W33" s="766"/>
      <c r="X33" s="766"/>
      <c r="Y33" s="205"/>
    </row>
    <row r="34" spans="2:35" ht="12" customHeight="1" x14ac:dyDescent="0.25">
      <c r="B34" s="194"/>
      <c r="F34" s="241"/>
      <c r="G34" s="282"/>
      <c r="H34" s="282"/>
      <c r="I34" s="209"/>
      <c r="J34" s="241"/>
      <c r="K34" s="241"/>
      <c r="L34" s="267"/>
      <c r="M34" s="244"/>
      <c r="N34" s="244"/>
      <c r="O34" s="245"/>
      <c r="P34" s="267"/>
      <c r="Q34" s="267"/>
      <c r="R34" s="267"/>
      <c r="S34" s="244"/>
      <c r="T34" s="244"/>
      <c r="U34" s="241"/>
      <c r="V34" s="241"/>
      <c r="W34" s="241"/>
      <c r="X34" s="241"/>
      <c r="Y34" s="205"/>
    </row>
    <row r="35" spans="2:35" ht="22.5" customHeight="1" x14ac:dyDescent="0.25">
      <c r="B35" s="194"/>
      <c r="C35" s="225" t="s">
        <v>252</v>
      </c>
      <c r="D35" s="226"/>
      <c r="E35" s="227"/>
      <c r="F35" s="227"/>
      <c r="G35" s="227"/>
      <c r="H35" s="719" t="str">
        <f>IF(Dados!S94="não","não atendem a norma","atendem a norma")</f>
        <v>não atendem a norma</v>
      </c>
      <c r="I35" s="719"/>
      <c r="J35" s="719"/>
      <c r="K35" s="719"/>
      <c r="L35" s="719"/>
      <c r="M35" s="719"/>
      <c r="N35" s="719"/>
      <c r="O35" s="719"/>
      <c r="P35" s="362"/>
      <c r="Q35" s="362"/>
      <c r="R35" s="362"/>
      <c r="S35" s="362"/>
      <c r="T35" s="362"/>
      <c r="U35" s="283"/>
      <c r="V35" s="267"/>
      <c r="W35" s="241"/>
      <c r="X35" s="241"/>
      <c r="Y35" s="205"/>
    </row>
    <row r="36" spans="2:35" ht="12" customHeight="1" x14ac:dyDescent="0.25">
      <c r="B36" s="194"/>
      <c r="C36" s="228"/>
      <c r="D36" s="228" t="s">
        <v>260</v>
      </c>
      <c r="E36" s="227"/>
      <c r="F36" s="227"/>
      <c r="G36" s="227"/>
      <c r="H36" s="229"/>
      <c r="I36" s="230"/>
      <c r="J36" s="231"/>
      <c r="K36" s="228"/>
      <c r="L36" s="284"/>
      <c r="M36" s="284"/>
      <c r="N36" s="284"/>
      <c r="O36" s="283"/>
      <c r="P36" s="283"/>
      <c r="Q36" s="283"/>
      <c r="R36" s="267"/>
      <c r="S36" s="244"/>
      <c r="T36" s="244"/>
      <c r="U36" s="241"/>
      <c r="V36" s="241"/>
      <c r="W36" s="241"/>
      <c r="X36" s="241"/>
      <c r="Y36" s="205"/>
    </row>
    <row r="37" spans="2:35" ht="12" customHeight="1" x14ac:dyDescent="0.25">
      <c r="B37" s="194"/>
      <c r="C37" s="228"/>
      <c r="D37" s="228" t="s">
        <v>147</v>
      </c>
      <c r="E37" s="227"/>
      <c r="F37" s="227"/>
      <c r="G37" s="227"/>
      <c r="H37" s="229"/>
      <c r="I37" s="230"/>
      <c r="J37" s="231"/>
      <c r="K37" s="228"/>
      <c r="L37" s="284"/>
      <c r="M37" s="284"/>
      <c r="N37" s="284"/>
      <c r="O37" s="283"/>
      <c r="P37" s="283"/>
      <c r="Q37" s="283"/>
      <c r="R37" s="267"/>
      <c r="S37" s="244"/>
      <c r="T37" s="244"/>
      <c r="U37" s="241"/>
      <c r="V37" s="241"/>
      <c r="W37" s="241"/>
      <c r="X37" s="241"/>
      <c r="Y37" s="205"/>
    </row>
    <row r="38" spans="2:35" ht="12" customHeight="1" x14ac:dyDescent="0.25">
      <c r="B38" s="194"/>
      <c r="C38" s="228"/>
      <c r="D38" s="228" t="s">
        <v>149</v>
      </c>
      <c r="E38" s="227"/>
      <c r="F38" s="227"/>
      <c r="G38" s="227"/>
      <c r="H38" s="229"/>
      <c r="I38" s="230"/>
      <c r="J38" s="231"/>
      <c r="K38" s="228"/>
      <c r="L38" s="284"/>
      <c r="M38" s="284"/>
      <c r="N38" s="284"/>
      <c r="O38" s="283"/>
      <c r="P38" s="283"/>
      <c r="Q38" s="283"/>
      <c r="R38" s="267"/>
      <c r="S38" s="244"/>
      <c r="T38" s="244"/>
      <c r="U38" s="241"/>
      <c r="V38" s="241"/>
      <c r="W38" s="241"/>
      <c r="X38" s="241"/>
      <c r="Y38" s="205"/>
    </row>
    <row r="39" spans="2:35" ht="12" customHeight="1" x14ac:dyDescent="0.25">
      <c r="B39" s="257"/>
      <c r="C39" s="285"/>
      <c r="D39" s="285"/>
      <c r="E39" s="285"/>
      <c r="F39" s="206"/>
      <c r="G39" s="286"/>
      <c r="H39" s="286"/>
      <c r="I39" s="195"/>
      <c r="J39" s="206"/>
      <c r="K39" s="206"/>
      <c r="L39" s="287"/>
      <c r="M39" s="279"/>
      <c r="N39" s="279"/>
      <c r="O39" s="288"/>
      <c r="P39" s="287"/>
      <c r="Q39" s="287"/>
      <c r="R39" s="287"/>
      <c r="S39" s="279"/>
      <c r="T39" s="279"/>
      <c r="U39" s="206"/>
      <c r="V39" s="206"/>
      <c r="W39" s="206"/>
      <c r="X39" s="206"/>
      <c r="Y39" s="258"/>
    </row>
    <row r="40" spans="2:35" ht="12" customHeight="1" x14ac:dyDescent="0.25"/>
    <row r="41" spans="2:35" ht="12" customHeight="1" x14ac:dyDescent="0.25">
      <c r="B41" s="192"/>
      <c r="C41" s="193"/>
      <c r="D41" s="193"/>
      <c r="E41" s="193"/>
      <c r="F41" s="193"/>
      <c r="G41" s="263"/>
      <c r="H41" s="263"/>
      <c r="I41" s="289"/>
      <c r="J41" s="289"/>
      <c r="K41" s="289"/>
      <c r="L41" s="263"/>
      <c r="M41" s="263"/>
      <c r="N41" s="290"/>
      <c r="O41" s="290"/>
      <c r="P41" s="263"/>
      <c r="Q41" s="290"/>
      <c r="R41" s="290"/>
      <c r="S41" s="289"/>
      <c r="T41" s="263"/>
      <c r="U41" s="263"/>
      <c r="V41" s="263"/>
      <c r="W41" s="263"/>
      <c r="X41" s="263"/>
      <c r="Y41" s="291"/>
    </row>
    <row r="42" spans="2:35" ht="15.75" customHeight="1" x14ac:dyDescent="0.25">
      <c r="B42" s="292"/>
      <c r="C42" s="364" t="s">
        <v>261</v>
      </c>
      <c r="D42" s="293"/>
      <c r="E42" s="293"/>
      <c r="F42" s="293"/>
      <c r="G42" s="212"/>
      <c r="H42" s="244" t="s">
        <v>245</v>
      </c>
      <c r="I42" s="244"/>
      <c r="J42" s="266"/>
      <c r="K42" s="266"/>
      <c r="L42" s="266"/>
      <c r="M42" s="808" t="str">
        <f>Dados!N103</f>
        <v>Prismático</v>
      </c>
      <c r="N42" s="809"/>
      <c r="O42" s="810"/>
      <c r="P42" s="267"/>
      <c r="Q42" s="267"/>
      <c r="R42" s="244"/>
      <c r="S42" s="244"/>
      <c r="T42" s="244"/>
      <c r="U42" s="259"/>
      <c r="V42" s="259"/>
      <c r="W42" s="259"/>
      <c r="X42" s="259"/>
      <c r="Y42" s="268"/>
    </row>
    <row r="43" spans="2:35" ht="13.5" customHeight="1" x14ac:dyDescent="0.25">
      <c r="B43" s="292"/>
      <c r="C43" s="294"/>
      <c r="D43" s="269"/>
      <c r="E43" s="269"/>
      <c r="F43" s="269"/>
      <c r="G43" s="269"/>
      <c r="H43" s="269"/>
      <c r="I43" s="269"/>
      <c r="J43" s="270"/>
      <c r="K43" s="270"/>
      <c r="L43" s="267"/>
      <c r="M43" s="267"/>
      <c r="N43" s="267"/>
      <c r="O43" s="250"/>
      <c r="P43" s="244"/>
      <c r="Q43" s="244"/>
      <c r="R43" s="244"/>
      <c r="S43" s="244"/>
      <c r="T43" s="244"/>
      <c r="U43" s="259"/>
      <c r="V43" s="259"/>
      <c r="W43" s="259"/>
      <c r="X43" s="259"/>
      <c r="Y43" s="268"/>
      <c r="Z43" s="187"/>
    </row>
    <row r="44" spans="2:35" ht="15.75" customHeight="1" x14ac:dyDescent="0.25">
      <c r="B44" s="292"/>
      <c r="C44" s="267"/>
      <c r="D44" s="212"/>
      <c r="E44" s="212"/>
      <c r="F44" s="212"/>
      <c r="G44" s="267"/>
      <c r="H44" s="267" t="s">
        <v>258</v>
      </c>
      <c r="I44" s="267"/>
      <c r="J44" s="267"/>
      <c r="K44" s="267"/>
      <c r="L44" s="271"/>
      <c r="M44" s="773">
        <f>Dados!S100</f>
        <v>2240</v>
      </c>
      <c r="N44" s="774"/>
      <c r="O44" s="775"/>
      <c r="P44" s="295"/>
      <c r="Q44" s="282"/>
      <c r="R44" s="282"/>
      <c r="S44" s="282"/>
      <c r="T44" s="282"/>
      <c r="U44" s="282"/>
      <c r="V44" s="320"/>
      <c r="W44" s="320"/>
      <c r="X44" s="320"/>
      <c r="Y44" s="296"/>
      <c r="AC44" s="184"/>
      <c r="AD44" s="184"/>
      <c r="AE44" s="183"/>
      <c r="AF44" s="180"/>
      <c r="AG44" s="180"/>
      <c r="AH44" s="180"/>
      <c r="AI44" s="180"/>
    </row>
    <row r="45" spans="2:35" ht="14.25" customHeight="1" x14ac:dyDescent="0.25">
      <c r="B45" s="292"/>
      <c r="C45" s="269"/>
      <c r="D45" s="269"/>
      <c r="E45" s="269"/>
      <c r="F45" s="269"/>
      <c r="G45" s="269"/>
      <c r="H45" s="269"/>
      <c r="I45" s="272"/>
      <c r="J45" s="273"/>
      <c r="K45" s="273"/>
      <c r="L45" s="267"/>
      <c r="M45" s="244"/>
      <c r="N45" s="244"/>
      <c r="O45" s="245"/>
      <c r="P45" s="267"/>
      <c r="Q45" s="267"/>
      <c r="R45" s="267"/>
      <c r="S45" s="244"/>
      <c r="T45" s="244"/>
      <c r="U45" s="259"/>
      <c r="V45" s="259"/>
      <c r="W45" s="259"/>
      <c r="X45" s="259"/>
      <c r="Y45" s="268"/>
      <c r="AB45" s="184"/>
      <c r="AC45" s="180"/>
      <c r="AD45" s="180"/>
      <c r="AE45" s="181"/>
      <c r="AF45" s="184"/>
      <c r="AG45" s="184"/>
      <c r="AH45" s="184"/>
      <c r="AI45" s="180"/>
    </row>
    <row r="46" spans="2:35" ht="16.5" customHeight="1" x14ac:dyDescent="0.25">
      <c r="B46" s="297"/>
      <c r="C46" s="298" t="s">
        <v>111</v>
      </c>
      <c r="D46" s="299"/>
      <c r="E46" s="299"/>
      <c r="F46" s="299"/>
      <c r="G46" s="300"/>
      <c r="H46" s="757" t="s">
        <v>112</v>
      </c>
      <c r="I46" s="758"/>
      <c r="J46" s="758"/>
      <c r="K46" s="758"/>
      <c r="L46" s="758"/>
      <c r="M46" s="758"/>
      <c r="N46" s="759"/>
      <c r="O46" s="734" t="s">
        <v>52</v>
      </c>
      <c r="P46" s="735"/>
      <c r="Q46" s="736"/>
      <c r="R46" s="734" t="s">
        <v>140</v>
      </c>
      <c r="S46" s="735"/>
      <c r="T46" s="735"/>
      <c r="U46" s="735"/>
      <c r="V46" s="735"/>
      <c r="W46" s="735"/>
      <c r="X46" s="736"/>
      <c r="Y46" s="268"/>
      <c r="AB46" s="184"/>
      <c r="AC46" s="180"/>
      <c r="AD46" s="180"/>
      <c r="AE46" s="181"/>
      <c r="AF46" s="184"/>
      <c r="AG46" s="184"/>
      <c r="AH46" s="184"/>
      <c r="AI46" s="180"/>
    </row>
    <row r="47" spans="2:35" ht="13.5" customHeight="1" x14ac:dyDescent="0.25">
      <c r="B47" s="297"/>
      <c r="C47" s="301"/>
      <c r="D47" s="286"/>
      <c r="E47" s="286"/>
      <c r="F47" s="286"/>
      <c r="G47" s="302"/>
      <c r="H47" s="770" t="s">
        <v>114</v>
      </c>
      <c r="I47" s="771"/>
      <c r="J47" s="771"/>
      <c r="K47" s="772"/>
      <c r="L47" s="770" t="s">
        <v>115</v>
      </c>
      <c r="M47" s="771"/>
      <c r="N47" s="772"/>
      <c r="O47" s="737"/>
      <c r="P47" s="738"/>
      <c r="Q47" s="739"/>
      <c r="R47" s="737"/>
      <c r="S47" s="738"/>
      <c r="T47" s="738"/>
      <c r="U47" s="738"/>
      <c r="V47" s="738"/>
      <c r="W47" s="738"/>
      <c r="X47" s="739"/>
      <c r="Y47" s="268"/>
      <c r="AB47" s="184"/>
      <c r="AC47" s="180"/>
      <c r="AD47" s="180"/>
      <c r="AE47" s="181"/>
      <c r="AF47" s="184"/>
      <c r="AG47" s="184"/>
      <c r="AH47" s="184"/>
      <c r="AI47" s="180"/>
    </row>
    <row r="48" spans="2:35" ht="16.5" customHeight="1" x14ac:dyDescent="0.25">
      <c r="B48" s="297"/>
      <c r="C48" s="303" t="s">
        <v>143</v>
      </c>
      <c r="D48" s="304"/>
      <c r="E48" s="199"/>
      <c r="F48" s="199"/>
      <c r="G48" s="201"/>
      <c r="H48" s="797" t="str">
        <f>Dados!O114</f>
        <v>----</v>
      </c>
      <c r="I48" s="798"/>
      <c r="J48" s="798"/>
      <c r="K48" s="799"/>
      <c r="L48" s="797" t="str">
        <f>Dados!P114</f>
        <v>----</v>
      </c>
      <c r="M48" s="798"/>
      <c r="N48" s="799"/>
      <c r="O48" s="744" t="str">
        <f>Dados!Q114</f>
        <v>----</v>
      </c>
      <c r="P48" s="745"/>
      <c r="Q48" s="746"/>
      <c r="R48" s="744" t="str">
        <f>Dados!R114</f>
        <v>----</v>
      </c>
      <c r="S48" s="745"/>
      <c r="T48" s="745"/>
      <c r="U48" s="745"/>
      <c r="V48" s="745"/>
      <c r="W48" s="745"/>
      <c r="X48" s="746"/>
      <c r="Y48" s="268"/>
      <c r="AB48" s="184"/>
      <c r="AC48" s="178"/>
      <c r="AD48" s="178"/>
      <c r="AE48" s="178"/>
      <c r="AF48" s="178"/>
      <c r="AG48" s="179"/>
      <c r="AH48" s="179"/>
      <c r="AI48" s="179"/>
    </row>
    <row r="49" spans="2:35" ht="15" customHeight="1" x14ac:dyDescent="0.25">
      <c r="B49" s="194"/>
      <c r="C49" s="305" t="s">
        <v>146</v>
      </c>
      <c r="D49" s="306"/>
      <c r="E49" s="307"/>
      <c r="F49" s="307"/>
      <c r="G49" s="308"/>
      <c r="H49" s="797" t="str">
        <f>Dados!O115</f>
        <v>----</v>
      </c>
      <c r="I49" s="798"/>
      <c r="J49" s="798"/>
      <c r="K49" s="799"/>
      <c r="L49" s="797" t="str">
        <f>Dados!P115</f>
        <v>----</v>
      </c>
      <c r="M49" s="798"/>
      <c r="N49" s="799"/>
      <c r="O49" s="744">
        <f>Dados!Q115</f>
        <v>1.29</v>
      </c>
      <c r="P49" s="745"/>
      <c r="Q49" s="746"/>
      <c r="R49" s="744" t="str">
        <f>Dados!R115</f>
        <v>----</v>
      </c>
      <c r="S49" s="745"/>
      <c r="T49" s="745"/>
      <c r="U49" s="745"/>
      <c r="V49" s="745"/>
      <c r="W49" s="745"/>
      <c r="X49" s="746"/>
      <c r="Y49" s="268"/>
      <c r="AB49" s="178"/>
      <c r="AC49" s="180"/>
      <c r="AD49" s="180"/>
      <c r="AE49" s="181"/>
      <c r="AF49" s="184"/>
      <c r="AG49" s="184"/>
      <c r="AH49" s="184"/>
      <c r="AI49" s="180"/>
    </row>
    <row r="50" spans="2:35" ht="15" customHeight="1" x14ac:dyDescent="0.25">
      <c r="B50" s="194"/>
      <c r="C50" s="276" t="s">
        <v>148</v>
      </c>
      <c r="D50" s="170"/>
      <c r="E50" s="198"/>
      <c r="F50" s="198"/>
      <c r="G50" s="277"/>
      <c r="H50" s="797" t="str">
        <f>Dados!O116</f>
        <v>----</v>
      </c>
      <c r="I50" s="798"/>
      <c r="J50" s="798"/>
      <c r="K50" s="799"/>
      <c r="L50" s="747">
        <f>Dados!P116</f>
        <v>1.2</v>
      </c>
      <c r="M50" s="748"/>
      <c r="N50" s="749"/>
      <c r="O50" s="744">
        <f>Dados!Q116</f>
        <v>2</v>
      </c>
      <c r="P50" s="745"/>
      <c r="Q50" s="746"/>
      <c r="R50" s="744" t="str">
        <f>Dados!R116</f>
        <v>Não atende</v>
      </c>
      <c r="S50" s="745"/>
      <c r="T50" s="745"/>
      <c r="U50" s="745"/>
      <c r="V50" s="745"/>
      <c r="W50" s="745"/>
      <c r="X50" s="746"/>
      <c r="Y50" s="309"/>
      <c r="AB50" s="184"/>
      <c r="AC50" s="185"/>
      <c r="AD50" s="178"/>
      <c r="AE50" s="178"/>
      <c r="AF50" s="178"/>
      <c r="AG50" s="179"/>
      <c r="AH50" s="179"/>
      <c r="AI50" s="179"/>
    </row>
    <row r="51" spans="2:35" ht="15" customHeight="1" x14ac:dyDescent="0.25">
      <c r="B51" s="194"/>
      <c r="C51" s="274" t="s">
        <v>150</v>
      </c>
      <c r="D51" s="275"/>
      <c r="E51" s="81"/>
      <c r="F51" s="81"/>
      <c r="G51" s="119"/>
      <c r="H51" s="797" t="str">
        <f>Dados!O117</f>
        <v>----</v>
      </c>
      <c r="I51" s="798"/>
      <c r="J51" s="798"/>
      <c r="K51" s="799"/>
      <c r="L51" s="797" t="str">
        <f>Dados!P117</f>
        <v>----</v>
      </c>
      <c r="M51" s="798"/>
      <c r="N51" s="799"/>
      <c r="O51" s="744">
        <f>Dados!Q117</f>
        <v>2</v>
      </c>
      <c r="P51" s="745"/>
      <c r="Q51" s="746"/>
      <c r="R51" s="744" t="str">
        <f>Dados!R117</f>
        <v>----</v>
      </c>
      <c r="S51" s="745"/>
      <c r="T51" s="745"/>
      <c r="U51" s="745"/>
      <c r="V51" s="745"/>
      <c r="W51" s="745"/>
      <c r="X51" s="746"/>
      <c r="Y51" s="309"/>
      <c r="AB51" s="178"/>
      <c r="AC51" s="180"/>
      <c r="AD51" s="180"/>
      <c r="AE51" s="186"/>
      <c r="AF51" s="180"/>
      <c r="AG51" s="180"/>
      <c r="AH51" s="180"/>
      <c r="AI51" s="180"/>
    </row>
    <row r="52" spans="2:35" ht="15" customHeight="1" x14ac:dyDescent="0.25">
      <c r="B52" s="194"/>
      <c r="C52" s="278" t="s">
        <v>152</v>
      </c>
      <c r="D52" s="279"/>
      <c r="E52" s="310"/>
      <c r="F52" s="310"/>
      <c r="G52" s="311"/>
      <c r="H52" s="747">
        <f>Dados!O118</f>
        <v>2240</v>
      </c>
      <c r="I52" s="748"/>
      <c r="J52" s="748"/>
      <c r="K52" s="749"/>
      <c r="L52" s="797" t="str">
        <f>Dados!P118</f>
        <v>----</v>
      </c>
      <c r="M52" s="798"/>
      <c r="N52" s="799"/>
      <c r="O52" s="805">
        <f>Dados!Q118</f>
        <v>5160</v>
      </c>
      <c r="P52" s="806"/>
      <c r="Q52" s="807"/>
      <c r="R52" s="744" t="str">
        <f>Dados!R118</f>
        <v>Atende</v>
      </c>
      <c r="S52" s="745"/>
      <c r="T52" s="745"/>
      <c r="U52" s="745"/>
      <c r="V52" s="745"/>
      <c r="W52" s="745"/>
      <c r="X52" s="746"/>
      <c r="Y52" s="205"/>
      <c r="AB52" s="180"/>
      <c r="AC52" s="180"/>
      <c r="AD52" s="180"/>
      <c r="AE52" s="181"/>
      <c r="AF52" s="184"/>
      <c r="AG52" s="184"/>
      <c r="AH52" s="184"/>
      <c r="AI52" s="180"/>
    </row>
    <row r="53" spans="2:35" ht="12" customHeight="1" x14ac:dyDescent="0.25">
      <c r="B53" s="257"/>
      <c r="C53" s="206"/>
      <c r="D53" s="206"/>
      <c r="E53" s="206"/>
      <c r="F53" s="288"/>
      <c r="G53" s="286"/>
      <c r="H53" s="286"/>
      <c r="I53" s="195"/>
      <c r="J53" s="206"/>
      <c r="K53" s="206"/>
      <c r="L53" s="206"/>
      <c r="M53" s="312"/>
      <c r="N53" s="312"/>
      <c r="O53" s="313"/>
      <c r="P53" s="313"/>
      <c r="Q53" s="313"/>
      <c r="R53" s="286"/>
      <c r="S53" s="286"/>
      <c r="T53" s="286"/>
      <c r="U53" s="206"/>
      <c r="V53" s="206"/>
      <c r="W53" s="206"/>
      <c r="X53" s="206"/>
      <c r="Y53" s="258"/>
      <c r="AB53" s="184"/>
    </row>
    <row r="54" spans="2:35" ht="15" customHeight="1" x14ac:dyDescent="0.25">
      <c r="B54" s="212"/>
      <c r="C54" s="241"/>
      <c r="D54" s="241"/>
      <c r="E54" s="241"/>
      <c r="F54" s="245"/>
      <c r="G54" s="282"/>
      <c r="H54" s="282"/>
      <c r="I54" s="209"/>
      <c r="J54" s="241"/>
      <c r="K54" s="241"/>
      <c r="L54" s="241"/>
      <c r="M54" s="186"/>
      <c r="N54" s="186"/>
      <c r="O54" s="352"/>
      <c r="P54" s="352"/>
      <c r="Q54" s="352"/>
      <c r="R54" s="282"/>
      <c r="S54" s="282"/>
      <c r="T54" s="282"/>
      <c r="U54" s="241"/>
      <c r="V54" s="241"/>
      <c r="W54" s="241"/>
      <c r="X54" s="241"/>
      <c r="Y54" s="241"/>
      <c r="AB54" s="184"/>
    </row>
    <row r="55" spans="2:35" ht="15" customHeight="1" x14ac:dyDescent="0.25">
      <c r="B55" s="212"/>
      <c r="C55" s="241"/>
      <c r="D55" s="241"/>
      <c r="E55" s="241"/>
      <c r="F55" s="259"/>
      <c r="G55" s="259"/>
      <c r="H55" s="259"/>
      <c r="I55" s="314"/>
      <c r="J55" s="314"/>
      <c r="K55" s="314"/>
      <c r="L55" s="259"/>
      <c r="M55" s="259"/>
      <c r="N55" s="259"/>
      <c r="O55" s="259"/>
      <c r="P55" s="259"/>
      <c r="Q55" s="314"/>
      <c r="R55" s="314"/>
      <c r="S55" s="314"/>
      <c r="T55" s="259"/>
      <c r="U55" s="259"/>
      <c r="V55" s="259"/>
      <c r="W55" s="259"/>
      <c r="X55" s="259"/>
      <c r="Y55" s="259"/>
    </row>
    <row r="56" spans="2:35" ht="10.5" customHeight="1" x14ac:dyDescent="0.25">
      <c r="B56" s="315"/>
      <c r="C56" s="316"/>
      <c r="D56" s="316"/>
      <c r="E56" s="316"/>
      <c r="F56" s="263"/>
      <c r="G56" s="263"/>
      <c r="H56" s="263"/>
      <c r="I56" s="289"/>
      <c r="J56" s="289"/>
      <c r="K56" s="289"/>
      <c r="L56" s="263"/>
      <c r="M56" s="263"/>
      <c r="N56" s="290"/>
      <c r="O56" s="290"/>
      <c r="P56" s="263"/>
      <c r="Q56" s="317"/>
      <c r="R56" s="317"/>
      <c r="S56" s="289"/>
      <c r="T56" s="263"/>
      <c r="U56" s="263"/>
      <c r="V56" s="263"/>
      <c r="W56" s="263"/>
      <c r="X56" s="263"/>
      <c r="Y56" s="291"/>
    </row>
    <row r="57" spans="2:35" ht="15" customHeight="1" x14ac:dyDescent="0.25">
      <c r="B57" s="292"/>
      <c r="C57" s="364" t="s">
        <v>162</v>
      </c>
      <c r="D57" s="293"/>
      <c r="E57" s="293"/>
      <c r="F57" s="269"/>
      <c r="G57" s="269"/>
      <c r="H57" s="244" t="s">
        <v>245</v>
      </c>
      <c r="I57" s="244"/>
      <c r="J57" s="266"/>
      <c r="K57" s="266"/>
      <c r="L57" s="266"/>
      <c r="M57" s="808" t="str">
        <f>IF(Dados!N121="sumidouro",Dados!N135,"----")</f>
        <v>----</v>
      </c>
      <c r="N57" s="809"/>
      <c r="O57" s="810"/>
      <c r="P57" s="267" t="s">
        <v>246</v>
      </c>
      <c r="Q57" s="267"/>
      <c r="R57" s="244"/>
      <c r="S57" s="244"/>
      <c r="T57" s="244"/>
      <c r="U57" s="744" t="str">
        <f>IF(Dados!N121="sumidouro",Dados!S129,"----")</f>
        <v>----</v>
      </c>
      <c r="V57" s="745"/>
      <c r="W57" s="745"/>
      <c r="X57" s="746"/>
      <c r="Y57" s="268"/>
      <c r="AC57" s="177"/>
      <c r="AD57" s="177"/>
      <c r="AE57" s="177"/>
      <c r="AF57" s="188"/>
      <c r="AG57" s="189"/>
      <c r="AH57" s="804"/>
      <c r="AI57" s="804"/>
    </row>
    <row r="58" spans="2:35" ht="15" customHeight="1" x14ac:dyDescent="0.25">
      <c r="B58" s="292"/>
      <c r="C58" s="269"/>
      <c r="D58" s="269"/>
      <c r="E58" s="269"/>
      <c r="F58" s="269"/>
      <c r="G58" s="269"/>
      <c r="H58" s="269"/>
      <c r="I58" s="269"/>
      <c r="J58" s="270"/>
      <c r="K58" s="270"/>
      <c r="L58" s="267"/>
      <c r="M58" s="267"/>
      <c r="N58" s="267"/>
      <c r="O58" s="250"/>
      <c r="P58" s="244"/>
      <c r="Q58" s="244"/>
      <c r="R58" s="244"/>
      <c r="S58" s="244"/>
      <c r="T58" s="244"/>
      <c r="U58" s="259"/>
      <c r="V58" s="259"/>
      <c r="W58" s="259"/>
      <c r="X58" s="259"/>
      <c r="Y58" s="268"/>
      <c r="AB58" s="177"/>
      <c r="AC58" s="177"/>
      <c r="AD58" s="177"/>
      <c r="AE58" s="177"/>
      <c r="AF58" s="188"/>
      <c r="AG58" s="189"/>
      <c r="AH58" s="190"/>
      <c r="AI58" s="190"/>
    </row>
    <row r="59" spans="2:35" ht="14.25" customHeight="1" x14ac:dyDescent="0.25">
      <c r="B59" s="292"/>
      <c r="C59" s="267"/>
      <c r="D59" s="212"/>
      <c r="E59" s="212"/>
      <c r="F59" s="212"/>
      <c r="G59" s="267"/>
      <c r="H59" s="267" t="s">
        <v>120</v>
      </c>
      <c r="I59" s="267"/>
      <c r="J59" s="267"/>
      <c r="K59" s="267"/>
      <c r="L59" s="271"/>
      <c r="M59" s="773" t="str">
        <f>IF(Dados!N121="sumidouro",Dados!S126,"----")</f>
        <v>----</v>
      </c>
      <c r="N59" s="774"/>
      <c r="O59" s="775"/>
      <c r="P59" s="184" t="s">
        <v>276</v>
      </c>
      <c r="Q59" s="184"/>
      <c r="R59" s="244"/>
      <c r="S59" s="244"/>
      <c r="T59" s="244"/>
      <c r="U59" s="793" t="str">
        <f>IF(Dados!N121="sumidouro",Dados!S132,"----")</f>
        <v>----</v>
      </c>
      <c r="V59" s="794"/>
      <c r="W59" s="794"/>
      <c r="X59" s="795"/>
      <c r="Y59" s="268"/>
      <c r="AB59" s="177"/>
      <c r="AC59" s="177"/>
      <c r="AD59" s="177"/>
      <c r="AE59" s="177"/>
      <c r="AF59" s="188"/>
      <c r="AG59" s="189"/>
      <c r="AH59" s="190"/>
      <c r="AI59" s="190"/>
    </row>
    <row r="60" spans="2:35" ht="10.5" customHeight="1" x14ac:dyDescent="0.25">
      <c r="B60" s="292"/>
      <c r="C60" s="267"/>
      <c r="D60" s="212"/>
      <c r="E60" s="212"/>
      <c r="F60" s="212"/>
      <c r="G60" s="267"/>
      <c r="H60" s="267"/>
      <c r="I60" s="267"/>
      <c r="J60" s="267"/>
      <c r="K60" s="267"/>
      <c r="L60" s="271"/>
      <c r="M60" s="318"/>
      <c r="N60" s="318"/>
      <c r="O60" s="319"/>
      <c r="P60" s="282"/>
      <c r="Q60" s="282"/>
      <c r="R60" s="282"/>
      <c r="S60" s="282"/>
      <c r="T60" s="282"/>
      <c r="U60" s="282"/>
      <c r="V60" s="320"/>
      <c r="W60" s="320"/>
      <c r="X60" s="320"/>
      <c r="Y60" s="268"/>
      <c r="AB60" s="177"/>
    </row>
    <row r="61" spans="2:35" ht="15" customHeight="1" x14ac:dyDescent="0.25">
      <c r="B61" s="297"/>
      <c r="C61" s="751" t="s">
        <v>111</v>
      </c>
      <c r="D61" s="752"/>
      <c r="E61" s="752"/>
      <c r="F61" s="752"/>
      <c r="G61" s="753"/>
      <c r="H61" s="757" t="s">
        <v>112</v>
      </c>
      <c r="I61" s="758"/>
      <c r="J61" s="758"/>
      <c r="K61" s="758"/>
      <c r="L61" s="758"/>
      <c r="M61" s="758"/>
      <c r="N61" s="759"/>
      <c r="O61" s="734" t="s">
        <v>52</v>
      </c>
      <c r="P61" s="735"/>
      <c r="Q61" s="736"/>
      <c r="R61" s="734" t="s">
        <v>140</v>
      </c>
      <c r="S61" s="735"/>
      <c r="T61" s="735"/>
      <c r="U61" s="735"/>
      <c r="V61" s="735"/>
      <c r="W61" s="735"/>
      <c r="X61" s="736"/>
      <c r="Y61" s="268"/>
    </row>
    <row r="62" spans="2:35" ht="15" customHeight="1" x14ac:dyDescent="0.25">
      <c r="B62" s="297"/>
      <c r="C62" s="767"/>
      <c r="D62" s="768"/>
      <c r="E62" s="768"/>
      <c r="F62" s="768"/>
      <c r="G62" s="769"/>
      <c r="H62" s="770" t="s">
        <v>114</v>
      </c>
      <c r="I62" s="771"/>
      <c r="J62" s="771"/>
      <c r="K62" s="772"/>
      <c r="L62" s="770" t="s">
        <v>115</v>
      </c>
      <c r="M62" s="771"/>
      <c r="N62" s="772"/>
      <c r="O62" s="737"/>
      <c r="P62" s="738"/>
      <c r="Q62" s="739"/>
      <c r="R62" s="737"/>
      <c r="S62" s="738"/>
      <c r="T62" s="738"/>
      <c r="U62" s="738"/>
      <c r="V62" s="738"/>
      <c r="W62" s="738"/>
      <c r="X62" s="739"/>
      <c r="Y62" s="268"/>
    </row>
    <row r="63" spans="2:35" ht="16.350000000000001" customHeight="1" x14ac:dyDescent="0.25">
      <c r="B63" s="194"/>
      <c r="C63" s="303" t="s">
        <v>143</v>
      </c>
      <c r="D63" s="304"/>
      <c r="E63" s="321"/>
      <c r="F63" s="321"/>
      <c r="G63" s="322"/>
      <c r="H63" s="744" t="str">
        <f>Dados!O155</f>
        <v>----</v>
      </c>
      <c r="I63" s="745"/>
      <c r="J63" s="745"/>
      <c r="K63" s="746"/>
      <c r="L63" s="747" t="str">
        <f>Dados!P155</f>
        <v>----</v>
      </c>
      <c r="M63" s="748"/>
      <c r="N63" s="749"/>
      <c r="O63" s="744" t="str">
        <f>IF(Dados!N121="sumidouro",Dados!Q155,"----")</f>
        <v>----</v>
      </c>
      <c r="P63" s="745"/>
      <c r="Q63" s="746"/>
      <c r="R63" s="766" t="str">
        <f>IF(Dados!N121="sumidouro",Dados!R155,"----")</f>
        <v>----</v>
      </c>
      <c r="S63" s="766"/>
      <c r="T63" s="766"/>
      <c r="U63" s="766"/>
      <c r="V63" s="766"/>
      <c r="W63" s="766"/>
      <c r="X63" s="766"/>
      <c r="Y63" s="268"/>
    </row>
    <row r="64" spans="2:35" ht="16.350000000000001" customHeight="1" x14ac:dyDescent="0.25">
      <c r="B64" s="194"/>
      <c r="C64" s="274" t="s">
        <v>146</v>
      </c>
      <c r="D64" s="275"/>
      <c r="E64" s="323"/>
      <c r="F64" s="323"/>
      <c r="G64" s="324"/>
      <c r="H64" s="744" t="str">
        <f>Dados!O156</f>
        <v>----</v>
      </c>
      <c r="I64" s="745"/>
      <c r="J64" s="745"/>
      <c r="K64" s="746"/>
      <c r="L64" s="747" t="str">
        <f>Dados!P156</f>
        <v>----</v>
      </c>
      <c r="M64" s="748"/>
      <c r="N64" s="749"/>
      <c r="O64" s="744" t="str">
        <f>IF(Dados!N121="sumidouro",Dados!Q156,"----")</f>
        <v>----</v>
      </c>
      <c r="P64" s="745"/>
      <c r="Q64" s="746"/>
      <c r="R64" s="766" t="str">
        <f>IF(Dados!N121="sumidouro",Dados!R156,"----")</f>
        <v>----</v>
      </c>
      <c r="S64" s="766"/>
      <c r="T64" s="766"/>
      <c r="U64" s="766"/>
      <c r="V64" s="766"/>
      <c r="W64" s="766"/>
      <c r="X64" s="766"/>
      <c r="Y64" s="325" t="str">
        <f>IF(R64="----","  ","*")</f>
        <v xml:space="preserve">  </v>
      </c>
    </row>
    <row r="65" spans="1:36" ht="16.350000000000001" customHeight="1" x14ac:dyDescent="0.25">
      <c r="B65" s="194"/>
      <c r="C65" s="276" t="s">
        <v>148</v>
      </c>
      <c r="D65" s="170"/>
      <c r="E65" s="326"/>
      <c r="F65" s="326"/>
      <c r="G65" s="327"/>
      <c r="H65" s="744" t="str">
        <f>Dados!O157</f>
        <v>----</v>
      </c>
      <c r="I65" s="745"/>
      <c r="J65" s="745"/>
      <c r="K65" s="746"/>
      <c r="L65" s="747" t="str">
        <f>Dados!P157</f>
        <v>----</v>
      </c>
      <c r="M65" s="748"/>
      <c r="N65" s="749"/>
      <c r="O65" s="744" t="str">
        <f>IF(Dados!N121="sumidouro",Dados!Q157,"----")</f>
        <v>----</v>
      </c>
      <c r="P65" s="745"/>
      <c r="Q65" s="746"/>
      <c r="R65" s="766" t="str">
        <f>IF(Dados!N121="sumidouro",Dados!R157,"----")</f>
        <v>----</v>
      </c>
      <c r="S65" s="766"/>
      <c r="T65" s="766"/>
      <c r="U65" s="766"/>
      <c r="V65" s="766"/>
      <c r="W65" s="766"/>
      <c r="X65" s="766"/>
      <c r="Y65" s="325"/>
      <c r="AH65" s="259"/>
      <c r="AI65" s="259"/>
      <c r="AJ65" s="259"/>
    </row>
    <row r="66" spans="1:36" ht="16.350000000000001" customHeight="1" x14ac:dyDescent="0.25">
      <c r="B66" s="194"/>
      <c r="C66" s="274" t="s">
        <v>150</v>
      </c>
      <c r="D66" s="275"/>
      <c r="E66" s="323"/>
      <c r="F66" s="323"/>
      <c r="G66" s="324"/>
      <c r="H66" s="744" t="str">
        <f>Dados!O158</f>
        <v>----</v>
      </c>
      <c r="I66" s="745"/>
      <c r="J66" s="745"/>
      <c r="K66" s="746"/>
      <c r="L66" s="747" t="str">
        <f>Dados!P158</f>
        <v>----</v>
      </c>
      <c r="M66" s="748"/>
      <c r="N66" s="749"/>
      <c r="O66" s="744" t="str">
        <f>IF(Dados!N121="sumidouro",Dados!Q158,"----")</f>
        <v>----</v>
      </c>
      <c r="P66" s="745"/>
      <c r="Q66" s="746"/>
      <c r="R66" s="766" t="str">
        <f>IF(Dados!N121="sumidouro",Dados!R158,"----")</f>
        <v>----</v>
      </c>
      <c r="S66" s="766"/>
      <c r="T66" s="766"/>
      <c r="U66" s="766"/>
      <c r="V66" s="766"/>
      <c r="W66" s="766"/>
      <c r="X66" s="766"/>
      <c r="Y66" s="325" t="str">
        <f>IF(R66="----","  ","*")</f>
        <v xml:space="preserve">  </v>
      </c>
    </row>
    <row r="67" spans="1:36" ht="16.350000000000001" customHeight="1" x14ac:dyDescent="0.25">
      <c r="B67" s="194"/>
      <c r="C67" s="278" t="s">
        <v>247</v>
      </c>
      <c r="D67" s="279"/>
      <c r="E67" s="328"/>
      <c r="F67" s="328"/>
      <c r="G67" s="329"/>
      <c r="H67" s="776" t="s">
        <v>144</v>
      </c>
      <c r="I67" s="777"/>
      <c r="J67" s="777"/>
      <c r="K67" s="778"/>
      <c r="L67" s="747" t="s">
        <v>144</v>
      </c>
      <c r="M67" s="748"/>
      <c r="N67" s="749"/>
      <c r="O67" s="744" t="str">
        <f>IF(Dados!N121="sumidouro",IF(Dados!N135="cilíndrico",Dados!S139,Dados!S146),"----")</f>
        <v>----</v>
      </c>
      <c r="P67" s="745"/>
      <c r="Q67" s="746"/>
      <c r="R67" s="743" t="s">
        <v>144</v>
      </c>
      <c r="S67" s="743"/>
      <c r="T67" s="743"/>
      <c r="U67" s="743"/>
      <c r="V67" s="743"/>
      <c r="W67" s="743"/>
      <c r="X67" s="743"/>
      <c r="Y67" s="205"/>
      <c r="AD67" s="191"/>
    </row>
    <row r="68" spans="1:36" ht="16.350000000000001" customHeight="1" x14ac:dyDescent="0.25">
      <c r="B68" s="194"/>
      <c r="C68" s="330" t="s">
        <v>277</v>
      </c>
      <c r="D68" s="275"/>
      <c r="E68" s="323"/>
      <c r="F68" s="323"/>
      <c r="G68" s="324"/>
      <c r="H68" s="776" t="s">
        <v>144</v>
      </c>
      <c r="I68" s="777"/>
      <c r="J68" s="777"/>
      <c r="K68" s="778"/>
      <c r="L68" s="747" t="s">
        <v>144</v>
      </c>
      <c r="M68" s="748"/>
      <c r="N68" s="749"/>
      <c r="O68" s="740" t="str">
        <f>IF(Dados!N121="sumidouro",IF(Dados!N135="cilíndrico",IF(Dados!N141="não",1,Dados!Q141),IF(Dados!N148="não",1,Dados!Q148)),"----")</f>
        <v>----</v>
      </c>
      <c r="P68" s="741"/>
      <c r="Q68" s="742"/>
      <c r="R68" s="743" t="s">
        <v>144</v>
      </c>
      <c r="S68" s="743"/>
      <c r="T68" s="743"/>
      <c r="U68" s="743"/>
      <c r="V68" s="743"/>
      <c r="W68" s="743"/>
      <c r="X68" s="743"/>
      <c r="Y68" s="205"/>
    </row>
    <row r="69" spans="1:36" ht="16.350000000000001" customHeight="1" x14ac:dyDescent="0.25">
      <c r="B69" s="194"/>
      <c r="C69" s="331" t="s">
        <v>214</v>
      </c>
      <c r="D69" s="244"/>
      <c r="E69" s="326"/>
      <c r="F69" s="326"/>
      <c r="G69" s="327"/>
      <c r="H69" s="744" t="str">
        <f>IF(Dados!N121="sumidouro",Dados!S132,"----")</f>
        <v>----</v>
      </c>
      <c r="I69" s="745"/>
      <c r="J69" s="745"/>
      <c r="K69" s="746"/>
      <c r="L69" s="747" t="s">
        <v>144</v>
      </c>
      <c r="M69" s="748"/>
      <c r="N69" s="749"/>
      <c r="O69" s="744" t="str">
        <f>IF(Dados!N121="sumidouro",IF(Dados!N135="cilíndrico",IF(Dados!N141="não",Dados!S139,Dados!S142),IF(Dados!N148="não",Dados!S146,Dados!S149)),"----")</f>
        <v>----</v>
      </c>
      <c r="P69" s="745"/>
      <c r="Q69" s="746"/>
      <c r="R69" s="766" t="str">
        <f>IF(Dados!N121="sumidouro",Dados!R159,"----")</f>
        <v>----</v>
      </c>
      <c r="S69" s="766"/>
      <c r="T69" s="766"/>
      <c r="U69" s="766"/>
      <c r="V69" s="766"/>
      <c r="W69" s="766"/>
      <c r="X69" s="766"/>
      <c r="Y69" s="205"/>
    </row>
    <row r="70" spans="1:36" ht="16.350000000000001" customHeight="1" x14ac:dyDescent="0.25">
      <c r="B70" s="194"/>
      <c r="C70" s="332" t="s">
        <v>248</v>
      </c>
      <c r="D70" s="333"/>
      <c r="E70" s="323"/>
      <c r="F70" s="323"/>
      <c r="G70" s="323"/>
      <c r="H70" s="744" t="str">
        <f>IF(Dados!N121="Sumidouro",1.5,"----")</f>
        <v>----</v>
      </c>
      <c r="I70" s="745"/>
      <c r="J70" s="745"/>
      <c r="K70" s="746"/>
      <c r="L70" s="747" t="s">
        <v>144</v>
      </c>
      <c r="M70" s="748"/>
      <c r="N70" s="749"/>
      <c r="O70" s="744" t="str">
        <f>IF(Dados!N121="sumidouro",Dados!P151,"----")</f>
        <v>----</v>
      </c>
      <c r="P70" s="745"/>
      <c r="Q70" s="746"/>
      <c r="R70" s="766" t="str">
        <f>IF(Dados!N121="sumidouro",Dados!Y124,"----")</f>
        <v>----</v>
      </c>
      <c r="S70" s="766"/>
      <c r="T70" s="766"/>
      <c r="U70" s="766"/>
      <c r="V70" s="766"/>
      <c r="W70" s="766"/>
      <c r="X70" s="766"/>
      <c r="Y70" s="296"/>
    </row>
    <row r="71" spans="1:36" ht="15.75" customHeight="1" x14ac:dyDescent="0.25">
      <c r="B71" s="395"/>
      <c r="C71" s="369" t="str">
        <f>Dados!M160</f>
        <v xml:space="preserve">   </v>
      </c>
      <c r="D71" s="369"/>
      <c r="E71" s="370"/>
      <c r="F71" s="370"/>
      <c r="G71" s="370"/>
      <c r="H71" s="370"/>
      <c r="I71" s="371"/>
      <c r="J71" s="371"/>
      <c r="K71" s="371"/>
      <c r="L71" s="372"/>
      <c r="M71" s="372"/>
      <c r="O71" s="720" t="str">
        <f>Dados!M161</f>
        <v xml:space="preserve">   </v>
      </c>
      <c r="P71" s="720"/>
      <c r="Q71" s="720"/>
      <c r="R71" s="720"/>
      <c r="S71" s="720"/>
      <c r="T71" s="720"/>
      <c r="U71" s="720"/>
      <c r="V71" s="720"/>
      <c r="W71" s="457"/>
      <c r="X71" s="457"/>
      <c r="Y71" s="296"/>
    </row>
    <row r="72" spans="1:36" ht="15.75" customHeight="1" x14ac:dyDescent="0.25">
      <c r="B72" s="334"/>
      <c r="C72" s="196"/>
      <c r="D72" s="196"/>
      <c r="E72" s="197"/>
      <c r="F72" s="197"/>
      <c r="G72" s="197"/>
      <c r="H72" s="197"/>
      <c r="I72" s="335"/>
      <c r="J72" s="335"/>
      <c r="K72" s="335"/>
      <c r="L72" s="336"/>
      <c r="M72" s="336"/>
      <c r="N72" s="336"/>
      <c r="O72" s="335"/>
      <c r="P72" s="335"/>
      <c r="Q72" s="335"/>
      <c r="R72" s="335"/>
      <c r="S72" s="335"/>
      <c r="T72" s="335"/>
      <c r="U72" s="335"/>
      <c r="V72" s="337"/>
      <c r="W72" s="337"/>
      <c r="X72" s="337"/>
      <c r="Y72" s="338"/>
    </row>
    <row r="73" spans="1:36" ht="15" customHeight="1" x14ac:dyDescent="0.25">
      <c r="A73" s="339"/>
      <c r="B73" s="198"/>
      <c r="C73" s="340"/>
      <c r="D73" s="340"/>
      <c r="E73" s="340"/>
      <c r="F73" s="341"/>
      <c r="G73" s="259"/>
      <c r="H73" s="259"/>
      <c r="I73" s="314"/>
      <c r="J73" s="314"/>
      <c r="K73" s="314"/>
      <c r="L73" s="259"/>
      <c r="M73" s="259"/>
      <c r="N73" s="342"/>
      <c r="O73" s="340"/>
      <c r="P73" s="340"/>
      <c r="Q73" s="340"/>
      <c r="R73" s="340"/>
      <c r="S73" s="314"/>
      <c r="T73" s="259"/>
      <c r="U73" s="259"/>
      <c r="V73" s="259"/>
      <c r="W73" s="259"/>
      <c r="X73" s="259"/>
      <c r="Y73" s="198"/>
    </row>
    <row r="74" spans="1:36" ht="17.25" customHeight="1" x14ac:dyDescent="0.25">
      <c r="A74" s="339"/>
      <c r="B74" s="343"/>
      <c r="C74" s="199"/>
      <c r="D74" s="199"/>
      <c r="E74" s="199"/>
      <c r="F74" s="199"/>
      <c r="G74" s="344"/>
      <c r="H74" s="344"/>
      <c r="I74" s="344"/>
      <c r="J74" s="344"/>
      <c r="K74" s="344"/>
      <c r="L74" s="344"/>
      <c r="M74" s="344"/>
      <c r="N74" s="290"/>
      <c r="O74" s="290"/>
      <c r="P74" s="290"/>
      <c r="Q74" s="199"/>
      <c r="R74" s="199"/>
      <c r="S74" s="344"/>
      <c r="T74" s="200"/>
      <c r="U74" s="200"/>
      <c r="V74" s="200"/>
      <c r="W74" s="200"/>
      <c r="X74" s="200"/>
      <c r="Y74" s="201"/>
    </row>
    <row r="75" spans="1:36" ht="14.25" customHeight="1" x14ac:dyDescent="0.25">
      <c r="A75" s="339"/>
      <c r="B75" s="345"/>
      <c r="C75" s="347" t="s">
        <v>281</v>
      </c>
      <c r="D75" s="347"/>
      <c r="E75" s="202"/>
      <c r="F75" s="202"/>
      <c r="G75" s="198"/>
      <c r="H75" s="267" t="s">
        <v>308</v>
      </c>
      <c r="I75" s="267"/>
      <c r="J75" s="267"/>
      <c r="K75" s="267"/>
      <c r="L75" s="271"/>
      <c r="M75" s="773">
        <f>IF(Dados!N121="Vala de infiltração",Dados!S167,"----")</f>
        <v>1400</v>
      </c>
      <c r="N75" s="774"/>
      <c r="O75" s="775"/>
      <c r="P75" s="267" t="s">
        <v>310</v>
      </c>
      <c r="Q75" s="244"/>
      <c r="R75" s="244"/>
      <c r="S75" s="244"/>
      <c r="T75" s="244"/>
      <c r="U75" s="793">
        <f>IF(Dados!N121="Vala de infiltração",Dados!S170,"----")</f>
        <v>50</v>
      </c>
      <c r="V75" s="794"/>
      <c r="W75" s="794"/>
      <c r="X75" s="795"/>
      <c r="Y75" s="348"/>
    </row>
    <row r="76" spans="1:36" ht="16.5" customHeight="1" x14ac:dyDescent="0.25">
      <c r="B76" s="345"/>
      <c r="C76" s="339"/>
      <c r="D76" s="339"/>
      <c r="E76" s="339"/>
      <c r="F76" s="339"/>
      <c r="G76" s="198"/>
      <c r="H76" s="198"/>
      <c r="I76" s="210"/>
      <c r="J76" s="212"/>
      <c r="K76" s="212"/>
      <c r="L76" s="212"/>
      <c r="M76" s="212"/>
      <c r="N76" s="339"/>
      <c r="O76" s="339"/>
      <c r="P76" s="339"/>
      <c r="Q76" s="339"/>
      <c r="R76" s="339"/>
      <c r="S76" s="340"/>
      <c r="T76" s="198"/>
      <c r="U76" s="198"/>
      <c r="V76" s="198"/>
      <c r="W76" s="198"/>
      <c r="X76" s="198"/>
      <c r="Y76" s="348"/>
    </row>
    <row r="77" spans="1:36" ht="13.5" customHeight="1" x14ac:dyDescent="0.25">
      <c r="B77" s="203"/>
      <c r="C77" s="267"/>
      <c r="D77" s="267"/>
      <c r="E77" s="244"/>
      <c r="F77" s="244"/>
      <c r="G77" s="404" t="s">
        <v>309</v>
      </c>
      <c r="H77" s="267"/>
      <c r="I77" s="267"/>
      <c r="J77" s="267"/>
      <c r="K77" s="267"/>
      <c r="L77" s="267"/>
      <c r="M77" s="744">
        <f>IF(Dados!N121="Vala de infiltração",Dados!S173,"----")</f>
        <v>28</v>
      </c>
      <c r="N77" s="745"/>
      <c r="O77" s="746"/>
      <c r="P77" s="267"/>
      <c r="Q77" s="267"/>
      <c r="R77" s="267"/>
      <c r="S77" s="267"/>
      <c r="T77" s="339"/>
      <c r="U77" s="796"/>
      <c r="V77" s="796"/>
      <c r="W77" s="796"/>
      <c r="X77" s="796"/>
      <c r="Y77" s="348"/>
    </row>
    <row r="78" spans="1:36" ht="18" customHeight="1" x14ac:dyDescent="0.25">
      <c r="B78" s="203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49"/>
    </row>
    <row r="79" spans="1:36" ht="15.75" customHeight="1" x14ac:dyDescent="0.25">
      <c r="B79" s="194"/>
      <c r="C79" s="751" t="s">
        <v>111</v>
      </c>
      <c r="D79" s="752"/>
      <c r="E79" s="752"/>
      <c r="F79" s="752"/>
      <c r="G79" s="753"/>
      <c r="H79" s="757" t="s">
        <v>112</v>
      </c>
      <c r="I79" s="758"/>
      <c r="J79" s="758"/>
      <c r="K79" s="758"/>
      <c r="L79" s="758"/>
      <c r="M79" s="758"/>
      <c r="N79" s="759"/>
      <c r="O79" s="734" t="s">
        <v>52</v>
      </c>
      <c r="P79" s="735"/>
      <c r="Q79" s="736"/>
      <c r="R79" s="734" t="s">
        <v>140</v>
      </c>
      <c r="S79" s="735"/>
      <c r="T79" s="735"/>
      <c r="U79" s="735"/>
      <c r="V79" s="735"/>
      <c r="W79" s="735"/>
      <c r="X79" s="736"/>
      <c r="Y79" s="350"/>
    </row>
    <row r="80" spans="1:36" ht="15" customHeight="1" x14ac:dyDescent="0.25">
      <c r="B80" s="194"/>
      <c r="C80" s="754"/>
      <c r="D80" s="755"/>
      <c r="E80" s="755"/>
      <c r="F80" s="755"/>
      <c r="G80" s="756"/>
      <c r="H80" s="789" t="s">
        <v>114</v>
      </c>
      <c r="I80" s="790"/>
      <c r="J80" s="790"/>
      <c r="K80" s="791"/>
      <c r="L80" s="770" t="s">
        <v>115</v>
      </c>
      <c r="M80" s="771"/>
      <c r="N80" s="772"/>
      <c r="O80" s="760"/>
      <c r="P80" s="761"/>
      <c r="Q80" s="762"/>
      <c r="R80" s="737"/>
      <c r="S80" s="738"/>
      <c r="T80" s="738"/>
      <c r="U80" s="738"/>
      <c r="V80" s="738"/>
      <c r="W80" s="738"/>
      <c r="X80" s="739"/>
      <c r="Y80" s="350"/>
    </row>
    <row r="81" spans="2:26" ht="15" customHeight="1" x14ac:dyDescent="0.25">
      <c r="B81" s="204"/>
      <c r="C81" s="432" t="s">
        <v>249</v>
      </c>
      <c r="D81" s="433"/>
      <c r="E81" s="433"/>
      <c r="F81" s="433"/>
      <c r="G81" s="434"/>
      <c r="H81" s="803" t="s">
        <v>144</v>
      </c>
      <c r="I81" s="730"/>
      <c r="J81" s="730"/>
      <c r="K81" s="730"/>
      <c r="L81" s="731" t="s">
        <v>144</v>
      </c>
      <c r="M81" s="732"/>
      <c r="N81" s="733"/>
      <c r="O81" s="788">
        <f>IF(Dados!N121="Vala de Infiltração",Dados!Y168,"----")</f>
        <v>4</v>
      </c>
      <c r="P81" s="788"/>
      <c r="Q81" s="788"/>
      <c r="R81" s="730" t="s">
        <v>144</v>
      </c>
      <c r="S81" s="730"/>
      <c r="T81" s="730"/>
      <c r="U81" s="730"/>
      <c r="V81" s="730"/>
      <c r="W81" s="730"/>
      <c r="X81" s="730"/>
      <c r="Y81" s="403" t="str">
        <f>IF(R81="atende","   ",IF(R81="----","   ","*"))</f>
        <v xml:space="preserve">   </v>
      </c>
      <c r="Z81" s="375"/>
    </row>
    <row r="82" spans="2:26" ht="16.350000000000001" customHeight="1" x14ac:dyDescent="0.25">
      <c r="B82" s="194"/>
      <c r="C82" s="763" t="s">
        <v>303</v>
      </c>
      <c r="D82" s="764"/>
      <c r="E82" s="764"/>
      <c r="F82" s="764"/>
      <c r="G82" s="765"/>
      <c r="H82" s="785" t="s">
        <v>144</v>
      </c>
      <c r="I82" s="786"/>
      <c r="J82" s="786"/>
      <c r="K82" s="787"/>
      <c r="L82" s="731" t="s">
        <v>144</v>
      </c>
      <c r="M82" s="732"/>
      <c r="N82" s="733"/>
      <c r="O82" s="788">
        <f>IF(Dados!N121="Vala de Infiltração",Dados!Y170,"----")</f>
        <v>2</v>
      </c>
      <c r="P82" s="788"/>
      <c r="Q82" s="788"/>
      <c r="R82" s="743" t="s">
        <v>144</v>
      </c>
      <c r="S82" s="743"/>
      <c r="T82" s="743"/>
      <c r="U82" s="743"/>
      <c r="V82" s="743"/>
      <c r="W82" s="743"/>
      <c r="X82" s="743"/>
      <c r="Y82" s="205"/>
    </row>
    <row r="83" spans="2:26" ht="16.350000000000001" customHeight="1" x14ac:dyDescent="0.25">
      <c r="B83" s="194"/>
      <c r="C83" s="435" t="s">
        <v>304</v>
      </c>
      <c r="D83" s="433"/>
      <c r="E83" s="433"/>
      <c r="F83" s="433"/>
      <c r="G83" s="434"/>
      <c r="H83" s="779" t="s">
        <v>144</v>
      </c>
      <c r="I83" s="780"/>
      <c r="J83" s="780"/>
      <c r="K83" s="781"/>
      <c r="L83" s="731" t="s">
        <v>144</v>
      </c>
      <c r="M83" s="732"/>
      <c r="N83" s="733"/>
      <c r="O83" s="782" t="str">
        <f>IF(Dados!N121="vala de infiltração",Dados!S195,"----")</f>
        <v>2:1</v>
      </c>
      <c r="P83" s="783"/>
      <c r="Q83" s="784"/>
      <c r="R83" s="743" t="str">
        <f>IF(Dados!N121="vala de infiltração",Dados!R203,"----")</f>
        <v>Atende</v>
      </c>
      <c r="S83" s="743"/>
      <c r="T83" s="743"/>
      <c r="U83" s="743"/>
      <c r="V83" s="743"/>
      <c r="W83" s="743"/>
      <c r="X83" s="743"/>
      <c r="Y83" s="205"/>
    </row>
    <row r="84" spans="2:26" ht="16.350000000000001" customHeight="1" x14ac:dyDescent="0.25">
      <c r="B84" s="194"/>
      <c r="C84" s="436" t="s">
        <v>148</v>
      </c>
      <c r="D84" s="437"/>
      <c r="E84" s="437"/>
      <c r="F84" s="437"/>
      <c r="G84" s="438"/>
      <c r="H84" s="730">
        <f>IF(Dados!N121="Vala de infiltração",Dados!O204,"----")</f>
        <v>0.3</v>
      </c>
      <c r="I84" s="730"/>
      <c r="J84" s="730"/>
      <c r="K84" s="730"/>
      <c r="L84" s="731" t="s">
        <v>144</v>
      </c>
      <c r="M84" s="732"/>
      <c r="N84" s="733"/>
      <c r="O84" s="730">
        <f>IF(Dados!N121="Vala de Infiltração",Dados!Q204,"----")</f>
        <v>1</v>
      </c>
      <c r="P84" s="730"/>
      <c r="Q84" s="730"/>
      <c r="R84" s="743" t="str">
        <f>IF(Dados!N121="vala de infiltração",Dados!R204,"----")</f>
        <v>Atende</v>
      </c>
      <c r="S84" s="743"/>
      <c r="T84" s="743"/>
      <c r="U84" s="743"/>
      <c r="V84" s="743"/>
      <c r="W84" s="743"/>
      <c r="X84" s="743"/>
      <c r="Y84" s="205"/>
    </row>
    <row r="85" spans="2:26" ht="16.350000000000001" customHeight="1" x14ac:dyDescent="0.25">
      <c r="B85" s="194"/>
      <c r="C85" s="436" t="s">
        <v>230</v>
      </c>
      <c r="D85" s="437"/>
      <c r="E85" s="437"/>
      <c r="F85" s="437"/>
      <c r="G85" s="438"/>
      <c r="H85" s="730">
        <f>IF(Dados!N121="Vala de infiltração",Dados!O205,"----")</f>
        <v>0.3</v>
      </c>
      <c r="I85" s="730"/>
      <c r="J85" s="730"/>
      <c r="K85" s="730"/>
      <c r="L85" s="731" t="s">
        <v>144</v>
      </c>
      <c r="M85" s="732"/>
      <c r="N85" s="733"/>
      <c r="O85" s="730">
        <f>IF(Dados!N121="Vala de Infiltração",Dados!Q205,"----")</f>
        <v>0.8</v>
      </c>
      <c r="P85" s="730"/>
      <c r="Q85" s="730"/>
      <c r="R85" s="743" t="str">
        <f>IF(Dados!N121="vala de infiltração",Dados!R205,"----")</f>
        <v>Atende</v>
      </c>
      <c r="S85" s="743"/>
      <c r="T85" s="743"/>
      <c r="U85" s="743"/>
      <c r="V85" s="743"/>
      <c r="W85" s="743"/>
      <c r="X85" s="743"/>
      <c r="Y85" s="205"/>
    </row>
    <row r="86" spans="2:26" ht="16.350000000000001" customHeight="1" x14ac:dyDescent="0.25">
      <c r="B86" s="204"/>
      <c r="C86" s="439" t="s">
        <v>150</v>
      </c>
      <c r="D86" s="440"/>
      <c r="E86" s="441"/>
      <c r="F86" s="441"/>
      <c r="G86" s="442"/>
      <c r="H86" s="727" t="s">
        <v>144</v>
      </c>
      <c r="I86" s="728"/>
      <c r="J86" s="728"/>
      <c r="K86" s="729"/>
      <c r="L86" s="727">
        <f>IF(Dados!N121="vala de infiltração",Dados!P206,"----")</f>
        <v>30</v>
      </c>
      <c r="M86" s="728"/>
      <c r="N86" s="729"/>
      <c r="O86" s="730">
        <f>IF(Dados!N121="Vala de Infiltração",Dados!Q206,"----")</f>
        <v>3</v>
      </c>
      <c r="P86" s="730"/>
      <c r="Q86" s="730"/>
      <c r="R86" s="743" t="str">
        <f>IF(Dados!N121="vala de infiltração",Dados!R206,"----")</f>
        <v>Atende</v>
      </c>
      <c r="S86" s="743"/>
      <c r="T86" s="743"/>
      <c r="U86" s="743"/>
      <c r="V86" s="743"/>
      <c r="W86" s="743"/>
      <c r="X86" s="743"/>
      <c r="Y86" s="351"/>
    </row>
    <row r="87" spans="2:26" ht="16.350000000000001" customHeight="1" x14ac:dyDescent="0.25">
      <c r="B87" s="204"/>
      <c r="C87" s="443" t="s">
        <v>305</v>
      </c>
      <c r="D87" s="444"/>
      <c r="E87" s="444"/>
      <c r="F87" s="444"/>
      <c r="G87" s="445"/>
      <c r="H87" s="800" t="s">
        <v>144</v>
      </c>
      <c r="I87" s="801"/>
      <c r="J87" s="801"/>
      <c r="K87" s="802"/>
      <c r="L87" s="727" t="s">
        <v>144</v>
      </c>
      <c r="M87" s="728"/>
      <c r="N87" s="729"/>
      <c r="O87" s="730">
        <f>IF(Dados!N121="Vala de Infiltração",Dados!Q207,"----")</f>
        <v>8.4</v>
      </c>
      <c r="P87" s="730"/>
      <c r="Q87" s="730"/>
      <c r="R87" s="743" t="str">
        <f>IF(Dados!N121="vala de infiltração",Dados!R207,"----")</f>
        <v>----</v>
      </c>
      <c r="S87" s="743"/>
      <c r="T87" s="743"/>
      <c r="U87" s="743"/>
      <c r="V87" s="743"/>
      <c r="W87" s="743"/>
      <c r="X87" s="743"/>
      <c r="Y87" s="205"/>
    </row>
    <row r="88" spans="2:26" ht="16.350000000000001" customHeight="1" x14ac:dyDescent="0.25">
      <c r="B88" s="194"/>
      <c r="C88" s="446" t="s">
        <v>306</v>
      </c>
      <c r="D88" s="447"/>
      <c r="E88" s="447"/>
      <c r="F88" s="447"/>
      <c r="G88" s="448"/>
      <c r="H88" s="730">
        <f>IF(Dados!N121="Vala de infiltração",Dados!S173,"----")</f>
        <v>28</v>
      </c>
      <c r="I88" s="730"/>
      <c r="J88" s="730"/>
      <c r="K88" s="730"/>
      <c r="L88" s="731" t="s">
        <v>144</v>
      </c>
      <c r="M88" s="732"/>
      <c r="N88" s="733"/>
      <c r="O88" s="730">
        <f>IF(Dados!N121="Vala de Infiltração",Dados!Q209,"----")</f>
        <v>33.6</v>
      </c>
      <c r="P88" s="730"/>
      <c r="Q88" s="730"/>
      <c r="R88" s="743" t="str">
        <f>IF(Dados!N121="vala de infiltração",Dados!R208,"----")</f>
        <v>----</v>
      </c>
      <c r="S88" s="743"/>
      <c r="T88" s="743"/>
      <c r="U88" s="743"/>
      <c r="V88" s="743"/>
      <c r="W88" s="743"/>
      <c r="X88" s="743"/>
      <c r="Y88" s="351"/>
    </row>
    <row r="89" spans="2:26" ht="16.350000000000001" customHeight="1" x14ac:dyDescent="0.25">
      <c r="B89" s="204"/>
      <c r="C89" s="449" t="s">
        <v>307</v>
      </c>
      <c r="D89" s="450"/>
      <c r="E89" s="444"/>
      <c r="F89" s="444"/>
      <c r="G89" s="444"/>
      <c r="H89" s="744">
        <f>IF(Dados!N121="Vala de Infiltração",1.5,"----")</f>
        <v>1.5</v>
      </c>
      <c r="I89" s="745"/>
      <c r="J89" s="745"/>
      <c r="K89" s="746"/>
      <c r="L89" s="797" t="s">
        <v>144</v>
      </c>
      <c r="M89" s="798"/>
      <c r="N89" s="799"/>
      <c r="O89" s="730" t="str">
        <f>IF(Dados!N121="Vala de Infiltração",Dados!S199,"----")</f>
        <v>&lt; 1,50m</v>
      </c>
      <c r="P89" s="730"/>
      <c r="Q89" s="730"/>
      <c r="R89" s="743" t="str">
        <f>IF(Dados!N121="vala de infiltração",IF(O89="&gt; 1,50m","Atende","Não atende"),"----")</f>
        <v>Não atende</v>
      </c>
      <c r="S89" s="743"/>
      <c r="T89" s="743"/>
      <c r="U89" s="743"/>
      <c r="V89" s="743"/>
      <c r="W89" s="743"/>
      <c r="X89" s="743"/>
      <c r="Y89" s="205"/>
    </row>
    <row r="90" spans="2:26" ht="15.75" customHeight="1" x14ac:dyDescent="0.25">
      <c r="B90" s="504"/>
      <c r="C90" s="723" t="str">
        <f>IF(Dados!N121="vala de infiltração",IF(Dados!R203="Não atende","A relação deve resultar em 1:1 ou 2:1"," "),"  ")</f>
        <v xml:space="preserve"> </v>
      </c>
      <c r="D90" s="723"/>
      <c r="E90" s="723"/>
      <c r="F90" s="723"/>
      <c r="G90" s="723"/>
      <c r="H90" s="723"/>
      <c r="I90" s="723"/>
      <c r="J90" s="723"/>
      <c r="K90" s="723"/>
      <c r="L90" s="723"/>
      <c r="M90" s="723"/>
      <c r="N90" s="505"/>
      <c r="O90" s="506"/>
      <c r="P90" s="506"/>
      <c r="Q90" s="506"/>
      <c r="R90" s="337"/>
      <c r="S90" s="337"/>
      <c r="T90" s="337"/>
      <c r="U90" s="337"/>
      <c r="V90" s="337"/>
      <c r="W90" s="337"/>
      <c r="X90" s="337"/>
      <c r="Y90" s="258"/>
    </row>
    <row r="91" spans="2:26" ht="13.5" customHeight="1" x14ac:dyDescent="0.25">
      <c r="B91" s="269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367"/>
    </row>
    <row r="92" spans="2:26" ht="13.5" customHeight="1" x14ac:dyDescent="0.25">
      <c r="B92" s="269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367"/>
    </row>
    <row r="93" spans="2:26" ht="15" customHeight="1" x14ac:dyDescent="0.25">
      <c r="B93" s="269"/>
      <c r="C93" s="244"/>
      <c r="D93" s="244"/>
      <c r="E93" s="244"/>
      <c r="F93" s="244"/>
      <c r="G93" s="244"/>
      <c r="H93" s="267"/>
      <c r="I93" s="267"/>
      <c r="J93" s="267"/>
      <c r="K93" s="267"/>
      <c r="L93" s="267"/>
      <c r="M93" s="267"/>
      <c r="N93" s="267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367"/>
    </row>
    <row r="94" spans="2:26" ht="15" customHeight="1" x14ac:dyDescent="0.25">
      <c r="B94" s="212"/>
      <c r="C94" s="326"/>
      <c r="D94" s="170"/>
      <c r="E94" s="326"/>
      <c r="F94" s="326"/>
      <c r="G94" s="326"/>
      <c r="H94" s="259"/>
      <c r="I94" s="259"/>
      <c r="J94" s="259"/>
      <c r="K94" s="259"/>
      <c r="L94" s="376"/>
      <c r="M94" s="376"/>
      <c r="N94" s="376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367"/>
    </row>
    <row r="95" spans="2:26" ht="15" customHeight="1" x14ac:dyDescent="0.25">
      <c r="B95" s="212"/>
      <c r="C95" s="326"/>
      <c r="D95" s="170"/>
      <c r="E95" s="326"/>
      <c r="F95" s="326"/>
      <c r="G95" s="326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368"/>
    </row>
    <row r="96" spans="2:26" ht="15" customHeight="1" x14ac:dyDescent="0.25">
      <c r="B96" s="451"/>
      <c r="C96" s="452"/>
      <c r="D96" s="452"/>
      <c r="E96" s="452"/>
      <c r="F96" s="452"/>
      <c r="G96" s="453"/>
      <c r="H96" s="453"/>
      <c r="I96" s="453"/>
      <c r="J96" s="217"/>
      <c r="K96" s="217"/>
      <c r="L96" s="453"/>
      <c r="M96" s="453"/>
      <c r="N96" s="452"/>
      <c r="O96" s="452"/>
      <c r="P96" s="452"/>
      <c r="Q96" s="452"/>
      <c r="R96" s="452"/>
      <c r="S96" s="453"/>
      <c r="T96" s="453"/>
      <c r="U96" s="453"/>
      <c r="V96" s="453"/>
      <c r="W96" s="453"/>
      <c r="X96" s="453"/>
      <c r="Y96" s="368"/>
    </row>
    <row r="97" spans="1:25" ht="15" customHeight="1" x14ac:dyDescent="0.25">
      <c r="B97" s="724" t="s">
        <v>311</v>
      </c>
      <c r="C97" s="724"/>
      <c r="D97" s="721" t="str">
        <f>Dados!E3</f>
        <v>xxxxxxxxxxxx</v>
      </c>
      <c r="E97" s="721"/>
      <c r="F97" s="721"/>
      <c r="G97" s="721"/>
      <c r="H97" s="721"/>
      <c r="I97" s="721"/>
      <c r="J97" s="721"/>
      <c r="K97" s="721"/>
      <c r="L97" s="216" t="s">
        <v>312</v>
      </c>
      <c r="M97" s="216"/>
      <c r="N97" s="216"/>
      <c r="O97" s="725" t="str">
        <f>Dados!E8</f>
        <v>YYYYYYYYYY</v>
      </c>
      <c r="P97" s="725"/>
      <c r="Q97" s="725"/>
      <c r="R97" s="725"/>
      <c r="S97" s="725"/>
      <c r="T97" s="725"/>
      <c r="U97" s="725"/>
      <c r="V97" s="725"/>
      <c r="W97" s="725"/>
      <c r="X97" s="725"/>
      <c r="Y97" s="368"/>
    </row>
    <row r="98" spans="1:25" ht="15" customHeight="1" x14ac:dyDescent="0.25">
      <c r="B98" s="722" t="s">
        <v>313</v>
      </c>
      <c r="C98" s="722"/>
      <c r="D98" s="726">
        <f>Dados!E5</f>
        <v>0</v>
      </c>
      <c r="E98" s="726"/>
      <c r="F98" s="726"/>
      <c r="G98" s="726"/>
      <c r="H98" s="454"/>
      <c r="I98" s="454"/>
      <c r="J98" s="454"/>
      <c r="K98" s="454"/>
      <c r="L98" s="722" t="s">
        <v>313</v>
      </c>
      <c r="M98" s="722"/>
      <c r="N98" s="722"/>
      <c r="O98" s="726">
        <f>Dados!E10</f>
        <v>0</v>
      </c>
      <c r="P98" s="726"/>
      <c r="Q98" s="726"/>
      <c r="R98" s="726"/>
      <c r="S98" s="726"/>
      <c r="T98" s="726"/>
      <c r="U98" s="726"/>
      <c r="V98" s="726"/>
      <c r="W98" s="726"/>
      <c r="X98" s="726"/>
      <c r="Y98" s="241"/>
    </row>
    <row r="99" spans="1:25" ht="15" customHeight="1" x14ac:dyDescent="0.25">
      <c r="B99" s="172"/>
      <c r="C99" s="217"/>
      <c r="D99" s="217"/>
      <c r="E99" s="217"/>
      <c r="F99" s="217"/>
      <c r="G99" s="217"/>
      <c r="H99" s="217"/>
      <c r="I99" s="217"/>
      <c r="J99" s="217"/>
      <c r="K99" s="217"/>
      <c r="L99" s="216" t="s">
        <v>314</v>
      </c>
      <c r="M99" s="216"/>
      <c r="N99" s="217"/>
      <c r="O99" s="721" t="str">
        <f>Dados!F12</f>
        <v>CAU</v>
      </c>
      <c r="P99" s="721"/>
      <c r="Q99" s="721"/>
      <c r="R99" s="181"/>
      <c r="S99" s="721"/>
      <c r="T99" s="721"/>
      <c r="U99" s="721"/>
      <c r="V99" s="721"/>
      <c r="W99" s="721"/>
      <c r="X99" s="721"/>
      <c r="Y99" s="241"/>
    </row>
    <row r="100" spans="1:25" ht="13.5" customHeight="1" x14ac:dyDescent="0.25">
      <c r="B100" s="188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 t="s">
        <v>315</v>
      </c>
      <c r="M100" s="216"/>
      <c r="N100" s="216"/>
      <c r="O100" s="721" t="str">
        <f>Dados!I12</f>
        <v>yyyyyyyyyyyyyyyyyyyyy</v>
      </c>
      <c r="P100" s="721"/>
      <c r="Q100" s="721"/>
      <c r="R100" s="721"/>
      <c r="S100" s="721"/>
      <c r="T100" s="721"/>
      <c r="U100" s="721"/>
      <c r="V100" s="721"/>
      <c r="W100" s="721"/>
      <c r="X100" s="245"/>
      <c r="Y100" s="241"/>
    </row>
    <row r="101" spans="1:25" ht="14.25" customHeight="1" x14ac:dyDescent="0.25">
      <c r="B101" s="188"/>
      <c r="C101" s="217"/>
      <c r="D101" s="217"/>
      <c r="E101" s="217"/>
      <c r="F101" s="217"/>
      <c r="G101" s="217"/>
      <c r="H101" s="217"/>
      <c r="I101" s="217"/>
      <c r="J101" s="217"/>
      <c r="K101" s="217"/>
      <c r="L101" s="216" t="s">
        <v>316</v>
      </c>
      <c r="M101" s="217"/>
      <c r="N101" s="217"/>
      <c r="O101" s="721" t="str">
        <f>Dados!F14</f>
        <v>111111111111111111111111111</v>
      </c>
      <c r="P101" s="721"/>
      <c r="Q101" s="721"/>
      <c r="R101" s="721"/>
      <c r="S101" s="721"/>
      <c r="T101" s="721"/>
      <c r="U101" s="721"/>
      <c r="V101" s="721"/>
      <c r="W101" s="721"/>
      <c r="X101" s="721"/>
      <c r="Y101" s="721"/>
    </row>
    <row r="102" spans="1:25" ht="7.5" customHeight="1" x14ac:dyDescent="0.25">
      <c r="A102" s="339"/>
      <c r="B102" s="340"/>
      <c r="C102" s="369"/>
      <c r="D102" s="369"/>
      <c r="E102" s="370"/>
      <c r="F102" s="370"/>
      <c r="G102" s="370"/>
      <c r="H102" s="370"/>
      <c r="I102" s="371"/>
      <c r="J102" s="371"/>
      <c r="K102" s="371"/>
      <c r="L102" s="372"/>
      <c r="M102" s="372"/>
      <c r="N102" s="372"/>
      <c r="O102" s="371"/>
      <c r="P102" s="371"/>
      <c r="Q102" s="371"/>
      <c r="R102" s="371"/>
      <c r="S102" s="371"/>
      <c r="T102" s="371"/>
      <c r="U102" s="371"/>
      <c r="V102" s="367"/>
      <c r="W102" s="367"/>
      <c r="X102" s="367"/>
      <c r="Y102" s="259"/>
    </row>
    <row r="103" spans="1:25" ht="9" customHeight="1" x14ac:dyDescent="0.25">
      <c r="A103" s="339"/>
      <c r="B103" s="198"/>
      <c r="C103" s="340"/>
      <c r="D103" s="340"/>
      <c r="E103" s="340"/>
      <c r="F103" s="341"/>
      <c r="G103" s="259"/>
      <c r="H103" s="259"/>
      <c r="I103" s="314"/>
      <c r="J103" s="314"/>
      <c r="K103" s="314"/>
      <c r="L103" s="259"/>
      <c r="M103" s="259"/>
      <c r="N103" s="342"/>
      <c r="O103" s="340"/>
      <c r="P103" s="340"/>
      <c r="Q103" s="340"/>
      <c r="R103" s="340"/>
      <c r="S103" s="314"/>
      <c r="T103" s="259"/>
      <c r="U103" s="259"/>
      <c r="V103" s="259"/>
      <c r="W103" s="259"/>
      <c r="X103" s="259"/>
      <c r="Y103" s="198"/>
    </row>
    <row r="104" spans="1:25" ht="13.5" customHeight="1" x14ac:dyDescent="0.25">
      <c r="A104" s="339"/>
      <c r="B104" s="339"/>
      <c r="C104" s="198"/>
      <c r="D104" s="198"/>
      <c r="E104" s="198"/>
      <c r="F104" s="198"/>
      <c r="G104" s="340"/>
      <c r="H104" s="340"/>
      <c r="I104" s="340"/>
      <c r="J104" s="340"/>
      <c r="K104" s="340"/>
      <c r="L104" s="340"/>
      <c r="M104" s="340"/>
      <c r="N104" s="212"/>
      <c r="O104" s="212"/>
      <c r="P104" s="212"/>
      <c r="Q104" s="198"/>
      <c r="R104" s="198"/>
      <c r="S104" s="340"/>
      <c r="T104" s="373"/>
      <c r="U104" s="373"/>
      <c r="V104" s="373"/>
      <c r="W104" s="373"/>
      <c r="X104" s="373"/>
      <c r="Y104" s="198"/>
    </row>
    <row r="105" spans="1:25" ht="3" customHeight="1" x14ac:dyDescent="0.25">
      <c r="B105" s="339"/>
      <c r="C105" s="346"/>
      <c r="D105" s="347"/>
      <c r="E105" s="202"/>
      <c r="F105" s="202"/>
      <c r="G105" s="198"/>
      <c r="H105" s="267"/>
      <c r="I105" s="267"/>
      <c r="J105" s="267"/>
      <c r="K105" s="267"/>
      <c r="L105" s="271"/>
      <c r="M105" s="251"/>
      <c r="N105" s="251"/>
      <c r="O105" s="251"/>
      <c r="P105" s="244"/>
      <c r="Q105" s="244"/>
      <c r="R105" s="244"/>
      <c r="S105" s="244"/>
      <c r="T105" s="244"/>
      <c r="U105" s="354"/>
      <c r="V105" s="354"/>
      <c r="W105" s="354"/>
      <c r="X105" s="354"/>
      <c r="Y105" s="339"/>
    </row>
    <row r="106" spans="1:25" ht="14.25" customHeight="1" x14ac:dyDescent="0.25">
      <c r="B106" s="339"/>
      <c r="C106" s="339"/>
      <c r="D106" s="339"/>
      <c r="E106" s="339"/>
      <c r="F106" s="339"/>
      <c r="G106" s="198"/>
      <c r="H106" s="198"/>
      <c r="I106" s="210"/>
      <c r="J106" s="212"/>
      <c r="K106" s="212"/>
      <c r="L106" s="212"/>
      <c r="M106" s="212"/>
      <c r="N106" s="339"/>
      <c r="O106" s="339"/>
      <c r="P106" s="339"/>
      <c r="Q106" s="339"/>
      <c r="R106" s="339"/>
      <c r="S106" s="340"/>
      <c r="T106" s="198"/>
      <c r="U106" s="198"/>
      <c r="V106" s="198"/>
      <c r="W106" s="198"/>
      <c r="X106" s="198"/>
      <c r="Y106" s="339"/>
    </row>
    <row r="107" spans="1:25" ht="15.75" customHeight="1" x14ac:dyDescent="0.25">
      <c r="B107" s="198"/>
      <c r="C107" s="267"/>
      <c r="D107" s="267"/>
      <c r="E107" s="244"/>
      <c r="F107" s="244"/>
      <c r="G107" s="367"/>
      <c r="H107" s="267"/>
      <c r="I107" s="267"/>
      <c r="J107" s="267"/>
      <c r="K107" s="267"/>
      <c r="L107" s="267"/>
      <c r="M107" s="259"/>
      <c r="N107" s="259"/>
      <c r="O107" s="259"/>
      <c r="P107" s="267"/>
      <c r="Q107" s="267"/>
      <c r="R107" s="267"/>
      <c r="S107" s="267"/>
      <c r="T107" s="339"/>
      <c r="U107" s="378"/>
      <c r="V107" s="378"/>
      <c r="W107" s="378"/>
      <c r="X107" s="378"/>
      <c r="Y107" s="339"/>
    </row>
    <row r="108" spans="1:25" ht="13.5" customHeight="1" x14ac:dyDescent="0.25">
      <c r="B108" s="198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74"/>
    </row>
    <row r="109" spans="1:25" ht="11.25" customHeight="1" x14ac:dyDescent="0.25">
      <c r="B109" s="212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340"/>
    </row>
    <row r="110" spans="1:25" ht="15" customHeight="1" x14ac:dyDescent="0.25">
      <c r="B110" s="212"/>
      <c r="C110" s="244"/>
      <c r="D110" s="244"/>
      <c r="E110" s="244"/>
      <c r="F110" s="244"/>
      <c r="G110" s="244"/>
      <c r="H110" s="267"/>
      <c r="I110" s="267"/>
      <c r="J110" s="267"/>
      <c r="K110" s="267"/>
      <c r="L110" s="267"/>
      <c r="M110" s="267"/>
      <c r="N110" s="267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340"/>
    </row>
    <row r="111" spans="1:25" ht="13.5" customHeight="1" x14ac:dyDescent="0.25">
      <c r="B111" s="207"/>
      <c r="C111" s="226"/>
      <c r="D111" s="21"/>
      <c r="E111" s="227"/>
      <c r="F111" s="227"/>
      <c r="G111" s="227"/>
      <c r="H111" s="379"/>
      <c r="I111" s="380"/>
      <c r="J111" s="380"/>
      <c r="K111" s="380"/>
      <c r="L111" s="381"/>
      <c r="M111" s="381"/>
      <c r="N111" s="381"/>
      <c r="O111" s="382"/>
      <c r="P111" s="382"/>
      <c r="Q111" s="382"/>
      <c r="R111" s="380"/>
      <c r="S111" s="380"/>
      <c r="T111" s="380"/>
      <c r="U111" s="380"/>
      <c r="V111" s="380"/>
      <c r="W111" s="380"/>
      <c r="X111" s="380"/>
      <c r="Y111" s="375"/>
    </row>
    <row r="112" spans="1:25" ht="15" customHeight="1" x14ac:dyDescent="0.25">
      <c r="B112" s="212"/>
      <c r="C112" s="226"/>
      <c r="D112" s="226"/>
      <c r="E112" s="226"/>
      <c r="F112" s="226"/>
      <c r="G112" s="226"/>
      <c r="H112" s="379"/>
      <c r="I112" s="379"/>
      <c r="J112" s="379"/>
      <c r="K112" s="379"/>
      <c r="L112" s="381"/>
      <c r="M112" s="381"/>
      <c r="N112" s="381"/>
      <c r="O112" s="382"/>
      <c r="P112" s="382"/>
      <c r="Q112" s="382"/>
      <c r="R112" s="377"/>
      <c r="S112" s="377"/>
      <c r="T112" s="377"/>
      <c r="U112" s="377"/>
      <c r="V112" s="377"/>
      <c r="W112" s="377"/>
      <c r="X112" s="377"/>
      <c r="Y112" s="241"/>
    </row>
    <row r="113" spans="2:25" ht="15" customHeight="1" x14ac:dyDescent="0.25">
      <c r="B113" s="212"/>
      <c r="C113" s="226"/>
      <c r="D113" s="226"/>
      <c r="E113" s="226"/>
      <c r="F113" s="226"/>
      <c r="G113" s="226"/>
      <c r="H113" s="383"/>
      <c r="I113" s="383"/>
      <c r="J113" s="383"/>
      <c r="K113" s="383"/>
      <c r="L113" s="381"/>
      <c r="M113" s="381"/>
      <c r="N113" s="381"/>
      <c r="O113" s="382"/>
      <c r="P113" s="382"/>
      <c r="Q113" s="382"/>
      <c r="R113" s="377"/>
      <c r="S113" s="377"/>
      <c r="T113" s="377"/>
      <c r="U113" s="377"/>
      <c r="V113" s="377"/>
      <c r="W113" s="377"/>
      <c r="X113" s="377"/>
      <c r="Y113" s="241"/>
    </row>
    <row r="114" spans="2:25" ht="15" customHeight="1" x14ac:dyDescent="0.25">
      <c r="B114" s="212"/>
      <c r="C114" s="228"/>
      <c r="D114" s="228"/>
      <c r="E114" s="228"/>
      <c r="F114" s="228"/>
      <c r="G114" s="228"/>
      <c r="H114" s="380"/>
      <c r="I114" s="380"/>
      <c r="J114" s="380"/>
      <c r="K114" s="380"/>
      <c r="L114" s="381"/>
      <c r="M114" s="381"/>
      <c r="N114" s="381"/>
      <c r="O114" s="380"/>
      <c r="P114" s="380"/>
      <c r="Q114" s="380"/>
      <c r="R114" s="380"/>
      <c r="S114" s="380"/>
      <c r="T114" s="380"/>
      <c r="U114" s="380"/>
      <c r="V114" s="380"/>
      <c r="W114" s="380"/>
      <c r="X114" s="380"/>
      <c r="Y114" s="241"/>
    </row>
    <row r="115" spans="2:25" ht="13.5" customHeight="1" x14ac:dyDescent="0.25">
      <c r="B115" s="212"/>
      <c r="C115" s="228"/>
      <c r="D115" s="228"/>
      <c r="E115" s="228"/>
      <c r="F115" s="228"/>
      <c r="G115" s="228"/>
      <c r="H115" s="384"/>
      <c r="I115" s="384"/>
      <c r="J115" s="384"/>
      <c r="K115" s="384"/>
      <c r="L115" s="381"/>
      <c r="M115" s="381"/>
      <c r="N115" s="381"/>
      <c r="O115" s="380"/>
      <c r="P115" s="385"/>
      <c r="Q115" s="385"/>
      <c r="R115" s="380"/>
      <c r="S115" s="380"/>
      <c r="T115" s="380"/>
      <c r="U115" s="380"/>
      <c r="V115" s="380"/>
      <c r="W115" s="380"/>
      <c r="X115" s="380"/>
      <c r="Y115" s="241"/>
    </row>
    <row r="116" spans="2:25" ht="15.75" customHeight="1" x14ac:dyDescent="0.25">
      <c r="B116" s="207"/>
      <c r="C116" s="326"/>
      <c r="D116" s="170"/>
      <c r="E116" s="198"/>
      <c r="F116" s="198"/>
      <c r="G116" s="198"/>
      <c r="H116" s="386"/>
      <c r="I116" s="386"/>
      <c r="J116" s="386"/>
      <c r="K116" s="386"/>
      <c r="L116" s="386"/>
      <c r="M116" s="386"/>
      <c r="N116" s="386"/>
      <c r="O116" s="387"/>
      <c r="P116" s="387"/>
      <c r="Q116" s="387"/>
      <c r="R116" s="259"/>
      <c r="S116" s="259"/>
      <c r="T116" s="259"/>
      <c r="U116" s="259"/>
      <c r="V116" s="259"/>
      <c r="W116" s="259"/>
      <c r="X116" s="259"/>
      <c r="Y116" s="208"/>
    </row>
    <row r="117" spans="2:25" ht="14.25" customHeight="1" x14ac:dyDescent="0.25">
      <c r="B117" s="207"/>
      <c r="C117" s="226"/>
      <c r="D117" s="21"/>
      <c r="E117" s="227"/>
      <c r="F117" s="227"/>
      <c r="G117" s="227"/>
      <c r="H117" s="386"/>
      <c r="I117" s="386"/>
      <c r="J117" s="386"/>
      <c r="K117" s="386"/>
      <c r="L117" s="386"/>
      <c r="M117" s="386"/>
      <c r="N117" s="386"/>
      <c r="O117" s="387"/>
      <c r="P117" s="387"/>
      <c r="Q117" s="387"/>
      <c r="R117" s="377"/>
      <c r="S117" s="377"/>
      <c r="T117" s="377"/>
      <c r="U117" s="377"/>
      <c r="V117" s="377"/>
      <c r="W117" s="377"/>
      <c r="X117" s="377"/>
      <c r="Y117" s="241"/>
    </row>
    <row r="118" spans="2:25" ht="14.25" customHeight="1" x14ac:dyDescent="0.25">
      <c r="B118" s="212"/>
      <c r="C118" s="226"/>
      <c r="D118" s="21"/>
      <c r="E118" s="227"/>
      <c r="F118" s="227"/>
      <c r="G118" s="227"/>
      <c r="H118" s="380"/>
      <c r="I118" s="380"/>
      <c r="J118" s="380"/>
      <c r="K118" s="380"/>
      <c r="L118" s="381"/>
      <c r="M118" s="381"/>
      <c r="N118" s="381"/>
      <c r="O118" s="380"/>
      <c r="P118" s="380"/>
      <c r="Q118" s="380"/>
      <c r="R118" s="380"/>
      <c r="S118" s="380"/>
      <c r="T118" s="380"/>
      <c r="U118" s="380"/>
      <c r="V118" s="380"/>
      <c r="W118" s="380"/>
      <c r="X118" s="380"/>
      <c r="Y118" s="208"/>
    </row>
    <row r="119" spans="2:25" ht="9" customHeight="1" x14ac:dyDescent="0.25">
      <c r="B119" s="207"/>
      <c r="C119" s="244"/>
      <c r="D119" s="244"/>
      <c r="E119" s="326"/>
      <c r="F119" s="326"/>
      <c r="G119" s="326"/>
      <c r="H119" s="259"/>
      <c r="I119" s="259"/>
      <c r="J119" s="259"/>
      <c r="K119" s="259"/>
      <c r="L119" s="376"/>
      <c r="M119" s="376"/>
      <c r="N119" s="376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41"/>
    </row>
    <row r="120" spans="2:25" x14ac:dyDescent="0.25">
      <c r="B120" s="212"/>
      <c r="C120" s="366"/>
      <c r="D120" s="208"/>
      <c r="E120" s="208"/>
      <c r="F120" s="208"/>
      <c r="G120" s="241"/>
      <c r="H120" s="241"/>
      <c r="I120" s="241"/>
      <c r="J120" s="241"/>
      <c r="K120" s="241"/>
      <c r="L120" s="241"/>
      <c r="M120" s="241"/>
      <c r="N120" s="208"/>
      <c r="O120" s="208"/>
      <c r="P120" s="208"/>
      <c r="Q120" s="208"/>
      <c r="R120" s="208"/>
      <c r="S120" s="241"/>
      <c r="T120" s="241"/>
      <c r="U120" s="241"/>
      <c r="V120" s="241"/>
      <c r="W120" s="241"/>
      <c r="X120" s="241"/>
      <c r="Y120" s="208"/>
    </row>
    <row r="121" spans="2:25" x14ac:dyDescent="0.25">
      <c r="B121" s="207"/>
      <c r="C121" s="241"/>
      <c r="D121" s="241"/>
      <c r="E121" s="241"/>
      <c r="F121" s="241"/>
      <c r="G121" s="208"/>
      <c r="H121" s="208"/>
      <c r="I121" s="208"/>
      <c r="J121" s="208"/>
      <c r="K121" s="208"/>
      <c r="L121" s="208"/>
      <c r="M121" s="208"/>
      <c r="N121" s="241"/>
      <c r="O121" s="241"/>
      <c r="P121" s="241"/>
      <c r="Q121" s="241"/>
      <c r="R121" s="241"/>
      <c r="S121" s="208"/>
      <c r="T121" s="208"/>
      <c r="U121" s="208"/>
      <c r="V121" s="208"/>
      <c r="W121" s="208"/>
      <c r="X121" s="208"/>
      <c r="Y121" s="241"/>
    </row>
    <row r="122" spans="2:25" x14ac:dyDescent="0.25">
      <c r="B122" s="207"/>
      <c r="C122" s="208"/>
      <c r="D122" s="208"/>
      <c r="E122" s="208"/>
      <c r="F122" s="208"/>
      <c r="G122" s="241"/>
      <c r="H122" s="241"/>
      <c r="I122" s="241"/>
      <c r="J122" s="241"/>
      <c r="K122" s="241"/>
      <c r="L122" s="241"/>
      <c r="M122" s="241"/>
      <c r="N122" s="208"/>
      <c r="O122" s="208"/>
      <c r="P122" s="208"/>
      <c r="Q122" s="208"/>
      <c r="R122" s="208"/>
      <c r="S122" s="241"/>
      <c r="T122" s="241"/>
      <c r="U122" s="241"/>
      <c r="V122" s="241"/>
      <c r="W122" s="241"/>
      <c r="X122" s="241"/>
      <c r="Y122" s="208"/>
    </row>
    <row r="123" spans="2:25" x14ac:dyDescent="0.25">
      <c r="B123" s="209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</row>
    <row r="124" spans="2:25" x14ac:dyDescent="0.25">
      <c r="B124" s="207"/>
      <c r="C124" s="241"/>
      <c r="D124" s="241"/>
      <c r="E124" s="241"/>
      <c r="F124" s="241"/>
      <c r="G124" s="208"/>
      <c r="H124" s="208"/>
      <c r="I124" s="208"/>
      <c r="J124" s="208"/>
      <c r="K124" s="208"/>
      <c r="L124" s="208"/>
      <c r="M124" s="208"/>
      <c r="N124" s="241"/>
      <c r="O124" s="241"/>
      <c r="P124" s="241"/>
      <c r="Q124" s="241"/>
      <c r="R124" s="241"/>
      <c r="S124" s="208"/>
      <c r="T124" s="208"/>
      <c r="U124" s="208"/>
      <c r="V124" s="208"/>
      <c r="W124" s="208"/>
      <c r="X124" s="208"/>
      <c r="Y124" s="210"/>
    </row>
    <row r="125" spans="2:25" x14ac:dyDescent="0.25">
      <c r="B125" s="207"/>
      <c r="C125" s="208"/>
      <c r="D125" s="208"/>
      <c r="E125" s="208"/>
      <c r="F125" s="208"/>
      <c r="G125" s="241"/>
      <c r="H125" s="241"/>
      <c r="I125" s="241"/>
      <c r="J125" s="241"/>
      <c r="K125" s="241"/>
      <c r="L125" s="241"/>
      <c r="M125" s="241"/>
      <c r="N125" s="208"/>
      <c r="O125" s="208"/>
      <c r="P125" s="208"/>
      <c r="Q125" s="208"/>
      <c r="R125" s="208"/>
      <c r="S125" s="241"/>
      <c r="T125" s="241"/>
      <c r="U125" s="241"/>
      <c r="V125" s="241"/>
      <c r="W125" s="241"/>
      <c r="X125" s="241"/>
      <c r="Y125" s="198"/>
    </row>
    <row r="126" spans="2:25" x14ac:dyDescent="0.25">
      <c r="B126" s="18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198"/>
    </row>
    <row r="127" spans="2:25" x14ac:dyDescent="0.25">
      <c r="B127" s="246"/>
      <c r="C127" s="209"/>
      <c r="D127" s="209"/>
      <c r="E127" s="209"/>
      <c r="F127" s="209"/>
      <c r="G127" s="208"/>
      <c r="H127" s="208"/>
      <c r="I127" s="208"/>
      <c r="J127" s="208"/>
      <c r="K127" s="208"/>
      <c r="L127" s="208"/>
      <c r="M127" s="208"/>
      <c r="N127" s="210"/>
      <c r="O127" s="210"/>
      <c r="P127" s="210"/>
      <c r="Q127" s="210"/>
      <c r="R127" s="210"/>
      <c r="S127" s="208"/>
      <c r="T127" s="208"/>
      <c r="U127" s="208"/>
      <c r="V127" s="208"/>
      <c r="W127" s="208"/>
      <c r="X127" s="208"/>
      <c r="Y127" s="188"/>
    </row>
    <row r="128" spans="2:25" x14ac:dyDescent="0.25">
      <c r="B128" s="246"/>
      <c r="C128" s="208"/>
      <c r="D128" s="208"/>
      <c r="E128" s="208"/>
      <c r="F128" s="208"/>
      <c r="G128" s="209"/>
      <c r="H128" s="209"/>
      <c r="I128" s="209"/>
      <c r="J128" s="210"/>
      <c r="K128" s="210"/>
      <c r="L128" s="210"/>
      <c r="M128" s="210"/>
      <c r="N128" s="208"/>
      <c r="O128" s="208"/>
      <c r="P128" s="208"/>
      <c r="Q128" s="198"/>
      <c r="R128" s="198"/>
      <c r="S128" s="210"/>
      <c r="T128" s="210"/>
      <c r="U128" s="210"/>
      <c r="V128" s="210"/>
      <c r="W128" s="210"/>
      <c r="X128" s="210"/>
      <c r="Y128" s="211"/>
    </row>
    <row r="129" spans="2:25" x14ac:dyDescent="0.25">
      <c r="B129" s="246"/>
      <c r="C129" s="207"/>
      <c r="D129" s="207"/>
      <c r="E129" s="207"/>
      <c r="F129" s="207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198"/>
      <c r="R129" s="198"/>
      <c r="S129" s="198"/>
      <c r="T129" s="198"/>
      <c r="U129" s="198"/>
      <c r="V129" s="198"/>
      <c r="W129" s="198"/>
      <c r="X129" s="198"/>
      <c r="Y129" s="211"/>
    </row>
    <row r="130" spans="2:25" x14ac:dyDescent="0.25">
      <c r="B130" s="246"/>
      <c r="C130" s="188"/>
      <c r="D130" s="188"/>
      <c r="E130" s="188"/>
      <c r="F130" s="188"/>
      <c r="G130" s="207"/>
      <c r="H130" s="207"/>
      <c r="I130" s="208"/>
      <c r="J130" s="208"/>
      <c r="K130" s="208"/>
      <c r="L130" s="208"/>
      <c r="M130" s="208"/>
      <c r="N130" s="212"/>
      <c r="O130" s="212"/>
      <c r="P130" s="212"/>
      <c r="Q130" s="212"/>
      <c r="R130" s="212"/>
      <c r="S130" s="198"/>
      <c r="T130" s="198"/>
      <c r="U130" s="198"/>
      <c r="V130" s="198"/>
      <c r="W130" s="198"/>
      <c r="X130" s="198"/>
      <c r="Y130" s="211"/>
    </row>
    <row r="131" spans="2:25" x14ac:dyDescent="0.25">
      <c r="B131" s="182"/>
      <c r="C131" s="213"/>
      <c r="D131" s="213"/>
      <c r="E131" s="213"/>
      <c r="F131" s="213"/>
      <c r="G131" s="188"/>
      <c r="H131" s="188"/>
      <c r="I131" s="188"/>
      <c r="J131" s="212"/>
      <c r="K131" s="212"/>
      <c r="L131" s="212"/>
      <c r="M131" s="212"/>
      <c r="N131" s="213"/>
      <c r="O131" s="213"/>
      <c r="P131" s="213"/>
      <c r="Q131" s="211"/>
      <c r="R131" s="211"/>
      <c r="S131" s="212"/>
      <c r="T131" s="212"/>
      <c r="U131" s="212"/>
      <c r="V131" s="188"/>
      <c r="W131" s="188"/>
      <c r="X131" s="188"/>
      <c r="Y131" s="211"/>
    </row>
    <row r="132" spans="2:25" x14ac:dyDescent="0.25">
      <c r="B132" s="182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1"/>
      <c r="R132" s="211"/>
      <c r="S132" s="211"/>
      <c r="T132" s="211"/>
      <c r="U132" s="211"/>
      <c r="V132" s="211"/>
      <c r="W132" s="211"/>
      <c r="X132" s="211"/>
      <c r="Y132" s="211"/>
    </row>
    <row r="133" spans="2:25" x14ac:dyDescent="0.25">
      <c r="B133" s="182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1"/>
      <c r="R133" s="211"/>
      <c r="S133" s="211"/>
      <c r="T133" s="211"/>
      <c r="U133" s="211"/>
      <c r="V133" s="211"/>
      <c r="W133" s="211"/>
      <c r="X133" s="211"/>
      <c r="Y133" s="211"/>
    </row>
    <row r="134" spans="2:25" x14ac:dyDescent="0.25">
      <c r="B134" s="182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4"/>
      <c r="O134" s="215"/>
      <c r="P134" s="214"/>
      <c r="Q134" s="214"/>
      <c r="R134" s="214"/>
      <c r="S134" s="211"/>
      <c r="T134" s="211"/>
      <c r="U134" s="211"/>
      <c r="V134" s="211"/>
      <c r="W134" s="211"/>
      <c r="X134" s="211"/>
      <c r="Y134" s="211"/>
    </row>
    <row r="135" spans="2:25" x14ac:dyDescent="0.25">
      <c r="B135" s="175"/>
      <c r="C135" s="213"/>
      <c r="D135" s="213"/>
      <c r="E135" s="213"/>
      <c r="F135" s="213"/>
      <c r="G135" s="213"/>
      <c r="H135" s="213"/>
      <c r="I135" s="213"/>
      <c r="J135" s="214"/>
      <c r="K135" s="214"/>
      <c r="L135" s="214"/>
      <c r="M135" s="214"/>
      <c r="S135" s="214"/>
      <c r="T135" s="211"/>
      <c r="U135" s="211"/>
      <c r="V135" s="211"/>
      <c r="W135" s="211"/>
      <c r="X135" s="211"/>
      <c r="Y135" s="211"/>
    </row>
    <row r="136" spans="2:25" x14ac:dyDescent="0.25">
      <c r="B136" s="174"/>
      <c r="C136" s="213"/>
      <c r="D136" s="213"/>
      <c r="E136" s="213"/>
      <c r="F136" s="213"/>
      <c r="G136" s="213"/>
      <c r="H136" s="213"/>
      <c r="I136" s="213"/>
      <c r="J136" s="214"/>
      <c r="T136" s="211"/>
      <c r="U136" s="211"/>
      <c r="V136" s="211"/>
      <c r="W136" s="211"/>
      <c r="X136" s="211"/>
      <c r="Y136" s="176"/>
    </row>
    <row r="137" spans="2:25" x14ac:dyDescent="0.25">
      <c r="B137" s="216"/>
      <c r="C137" s="213"/>
      <c r="D137" s="213"/>
      <c r="E137" s="213"/>
      <c r="F137" s="213"/>
      <c r="G137" s="213"/>
      <c r="H137" s="213"/>
      <c r="I137" s="213"/>
      <c r="J137" s="214"/>
      <c r="T137" s="211"/>
      <c r="U137" s="211"/>
      <c r="V137" s="211"/>
      <c r="W137" s="211"/>
      <c r="X137" s="211"/>
      <c r="Y137" s="176"/>
    </row>
    <row r="138" spans="2:25" x14ac:dyDescent="0.25">
      <c r="B138" s="216"/>
      <c r="C138" s="213"/>
      <c r="D138" s="213"/>
      <c r="E138" s="213"/>
      <c r="F138" s="213"/>
      <c r="G138" s="213"/>
      <c r="H138" s="213"/>
      <c r="I138" s="213"/>
      <c r="J138" s="214"/>
      <c r="N138" s="213"/>
      <c r="O138" s="213"/>
      <c r="P138" s="213"/>
      <c r="Q138" s="211"/>
      <c r="R138" s="211"/>
      <c r="T138" s="211"/>
      <c r="U138" s="211"/>
      <c r="V138" s="211"/>
      <c r="W138" s="211"/>
      <c r="X138" s="211"/>
      <c r="Y138" s="217"/>
    </row>
    <row r="139" spans="2:25" x14ac:dyDescent="0.25">
      <c r="B139" s="216"/>
      <c r="C139" s="175"/>
      <c r="D139" s="175"/>
      <c r="E139" s="175"/>
      <c r="F139" s="175"/>
      <c r="G139" s="213"/>
      <c r="H139" s="213"/>
      <c r="I139" s="213"/>
      <c r="J139" s="213"/>
      <c r="K139" s="213"/>
      <c r="L139" s="213"/>
      <c r="M139" s="213"/>
      <c r="N139" s="176"/>
      <c r="O139" s="176"/>
      <c r="P139" s="176"/>
      <c r="Q139" s="176"/>
      <c r="R139" s="176"/>
      <c r="S139" s="211"/>
      <c r="T139" s="211"/>
      <c r="U139" s="211"/>
      <c r="V139" s="211"/>
      <c r="W139" s="211"/>
      <c r="X139" s="211"/>
      <c r="Y139" s="217"/>
    </row>
    <row r="140" spans="2:25" x14ac:dyDescent="0.25">
      <c r="B140" s="218"/>
      <c r="C140" s="175"/>
      <c r="D140" s="175"/>
      <c r="E140" s="175"/>
      <c r="F140" s="175"/>
      <c r="G140" s="175"/>
      <c r="H140" s="175"/>
      <c r="I140" s="175"/>
      <c r="J140" s="175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217"/>
    </row>
    <row r="141" spans="2:25" x14ac:dyDescent="0.25">
      <c r="B141" s="216"/>
      <c r="C141" s="217"/>
      <c r="D141" s="217"/>
      <c r="E141" s="217"/>
      <c r="F141" s="217"/>
      <c r="G141" s="175"/>
      <c r="H141" s="175"/>
      <c r="I141" s="175"/>
      <c r="J141" s="175"/>
      <c r="K141" s="176"/>
      <c r="L141" s="176"/>
      <c r="M141" s="176"/>
      <c r="N141" s="217"/>
      <c r="O141" s="217"/>
      <c r="P141" s="217"/>
      <c r="Q141" s="217"/>
      <c r="R141" s="217"/>
      <c r="S141" s="176"/>
      <c r="T141" s="176"/>
      <c r="U141" s="176"/>
      <c r="V141" s="176"/>
      <c r="W141" s="176"/>
      <c r="X141" s="176"/>
      <c r="Y141" s="219"/>
    </row>
    <row r="142" spans="2:25" x14ac:dyDescent="0.25">
      <c r="B142" s="218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</row>
    <row r="143" spans="2:25" x14ac:dyDescent="0.25">
      <c r="B143" s="216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9"/>
    </row>
    <row r="144" spans="2:25" x14ac:dyDescent="0.25">
      <c r="B144" s="218"/>
      <c r="C144" s="219"/>
      <c r="D144" s="219"/>
      <c r="E144" s="219"/>
      <c r="F144" s="219"/>
      <c r="G144" s="217"/>
      <c r="H144" s="217"/>
      <c r="I144" s="217"/>
      <c r="J144" s="217"/>
      <c r="K144" s="217"/>
      <c r="L144" s="217"/>
      <c r="M144" s="217"/>
      <c r="N144" s="219"/>
      <c r="O144" s="219"/>
      <c r="P144" s="219"/>
      <c r="Q144" s="219"/>
      <c r="R144" s="219"/>
      <c r="S144" s="217"/>
      <c r="T144" s="217"/>
      <c r="U144" s="217"/>
      <c r="V144" s="217"/>
      <c r="W144" s="217"/>
      <c r="X144" s="217"/>
      <c r="Y144" s="217"/>
    </row>
    <row r="145" spans="2:25" x14ac:dyDescent="0.25">
      <c r="B145" s="216"/>
      <c r="C145" s="217"/>
      <c r="D145" s="217"/>
      <c r="E145" s="217"/>
      <c r="F145" s="217"/>
      <c r="G145" s="219"/>
      <c r="H145" s="219"/>
      <c r="I145" s="219"/>
      <c r="J145" s="219"/>
      <c r="K145" s="219"/>
      <c r="L145" s="219"/>
      <c r="M145" s="219"/>
      <c r="N145" s="217"/>
      <c r="O145" s="217"/>
      <c r="P145" s="217"/>
      <c r="Q145" s="217"/>
      <c r="R145" s="217"/>
      <c r="S145" s="219"/>
      <c r="T145" s="219"/>
      <c r="U145" s="219"/>
      <c r="V145" s="219"/>
      <c r="W145" s="219"/>
      <c r="X145" s="219"/>
      <c r="Y145" s="219"/>
    </row>
    <row r="146" spans="2:25" x14ac:dyDescent="0.25">
      <c r="B146" s="216"/>
      <c r="C146" s="219"/>
      <c r="D146" s="219"/>
      <c r="E146" s="219"/>
      <c r="F146" s="219"/>
      <c r="G146" s="217"/>
      <c r="H146" s="217"/>
      <c r="I146" s="217"/>
      <c r="J146" s="217"/>
      <c r="K146" s="217"/>
      <c r="L146" s="217"/>
      <c r="M146" s="217"/>
      <c r="N146" s="219"/>
      <c r="O146" s="219"/>
      <c r="P146" s="219"/>
      <c r="Q146" s="219"/>
      <c r="R146" s="219"/>
      <c r="S146" s="217"/>
      <c r="T146" s="217"/>
      <c r="U146" s="217"/>
      <c r="V146" s="217"/>
      <c r="W146" s="217"/>
      <c r="X146" s="217"/>
      <c r="Y146" s="217"/>
    </row>
    <row r="147" spans="2:25" x14ac:dyDescent="0.25">
      <c r="B147" s="216"/>
      <c r="C147" s="217"/>
      <c r="D147" s="217"/>
      <c r="E147" s="217"/>
      <c r="F147" s="217"/>
      <c r="G147" s="219"/>
      <c r="H147" s="219"/>
      <c r="I147" s="219"/>
      <c r="J147" s="219"/>
      <c r="K147" s="219"/>
      <c r="L147" s="219"/>
      <c r="M147" s="219"/>
      <c r="N147" s="217"/>
      <c r="O147" s="217"/>
      <c r="P147" s="217"/>
      <c r="Q147" s="217"/>
      <c r="R147" s="217"/>
      <c r="S147" s="219"/>
      <c r="T147" s="219"/>
      <c r="U147" s="219"/>
      <c r="V147" s="219"/>
      <c r="W147" s="219"/>
      <c r="X147" s="219"/>
      <c r="Y147" s="217"/>
    </row>
    <row r="148" spans="2:25" x14ac:dyDescent="0.25">
      <c r="B148" s="216"/>
      <c r="C148" s="219"/>
      <c r="D148" s="219"/>
      <c r="E148" s="219"/>
      <c r="F148" s="219"/>
      <c r="G148" s="217"/>
      <c r="H148" s="217"/>
      <c r="I148" s="217"/>
      <c r="J148" s="217"/>
      <c r="K148" s="217"/>
      <c r="L148" s="217"/>
      <c r="M148" s="217"/>
      <c r="N148" s="219"/>
      <c r="O148" s="219"/>
      <c r="P148" s="219"/>
      <c r="Q148" s="219"/>
      <c r="R148" s="219"/>
      <c r="S148" s="217"/>
      <c r="T148" s="217"/>
      <c r="U148" s="217"/>
      <c r="V148" s="217"/>
      <c r="W148" s="217"/>
      <c r="X148" s="217"/>
      <c r="Y148" s="217"/>
    </row>
    <row r="149" spans="2:25" x14ac:dyDescent="0.25">
      <c r="B149" s="220"/>
      <c r="C149" s="217"/>
      <c r="D149" s="217"/>
      <c r="E149" s="217"/>
      <c r="F149" s="217"/>
      <c r="G149" s="219"/>
      <c r="H149" s="219"/>
      <c r="I149" s="219"/>
      <c r="J149" s="219"/>
      <c r="K149" s="219"/>
      <c r="L149" s="219"/>
      <c r="M149" s="219"/>
      <c r="N149" s="217"/>
      <c r="O149" s="217"/>
      <c r="P149" s="217"/>
      <c r="Q149" s="217"/>
      <c r="R149" s="217"/>
      <c r="S149" s="219"/>
      <c r="T149" s="219"/>
      <c r="U149" s="219"/>
      <c r="V149" s="219"/>
      <c r="W149" s="219"/>
      <c r="X149" s="219"/>
      <c r="Y149" s="217"/>
    </row>
    <row r="150" spans="2:25" x14ac:dyDescent="0.25">
      <c r="B150" s="172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21"/>
    </row>
    <row r="151" spans="2:25" x14ac:dyDescent="0.25">
      <c r="B151" s="188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22"/>
    </row>
    <row r="152" spans="2:25" x14ac:dyDescent="0.25">
      <c r="B152" s="188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</row>
    <row r="153" spans="2:25" x14ac:dyDescent="0.25">
      <c r="B153" s="188"/>
      <c r="C153" s="221"/>
      <c r="D153" s="221"/>
      <c r="E153" s="221"/>
      <c r="F153" s="221"/>
      <c r="G153" s="217"/>
      <c r="H153" s="217"/>
      <c r="I153" s="217"/>
      <c r="J153" s="217"/>
      <c r="K153" s="217"/>
      <c r="L153" s="217"/>
      <c r="M153" s="217"/>
      <c r="N153" s="221"/>
      <c r="O153" s="221"/>
      <c r="P153" s="221"/>
      <c r="Q153" s="221"/>
      <c r="R153" s="221"/>
      <c r="S153" s="217"/>
      <c r="T153" s="217"/>
      <c r="U153" s="217"/>
      <c r="V153" s="217"/>
      <c r="W153" s="217"/>
      <c r="X153" s="217"/>
    </row>
    <row r="154" spans="2:25" x14ac:dyDescent="0.25">
      <c r="B154" s="792"/>
      <c r="C154" s="222"/>
      <c r="D154" s="222"/>
      <c r="E154" s="222"/>
      <c r="F154" s="222"/>
      <c r="G154" s="221"/>
      <c r="H154" s="221"/>
      <c r="I154" s="221"/>
      <c r="J154" s="221"/>
      <c r="K154" s="221"/>
      <c r="L154" s="221"/>
      <c r="M154" s="221"/>
      <c r="N154" s="222"/>
      <c r="O154" s="222"/>
      <c r="P154" s="222"/>
      <c r="Q154" s="222"/>
      <c r="R154" s="222"/>
      <c r="S154" s="221"/>
      <c r="T154" s="221"/>
      <c r="U154" s="221"/>
      <c r="V154" s="221"/>
      <c r="W154" s="221"/>
      <c r="X154" s="221"/>
    </row>
    <row r="155" spans="2:25" x14ac:dyDescent="0.25">
      <c r="B155" s="792"/>
      <c r="C155" s="188"/>
      <c r="D155" s="188"/>
      <c r="E155" s="188"/>
      <c r="F155" s="188"/>
      <c r="G155" s="222"/>
      <c r="H155" s="222"/>
      <c r="I155" s="222"/>
      <c r="J155" s="222"/>
      <c r="K155" s="222"/>
      <c r="L155" s="222"/>
      <c r="M155" s="222"/>
      <c r="S155" s="222"/>
      <c r="T155" s="222"/>
      <c r="U155" s="222"/>
      <c r="V155" s="222"/>
      <c r="W155" s="222"/>
      <c r="X155" s="222"/>
    </row>
    <row r="156" spans="2:25" x14ac:dyDescent="0.25">
      <c r="B156" s="792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</row>
    <row r="157" spans="2:25" x14ac:dyDescent="0.25"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</row>
    <row r="158" spans="2:25" x14ac:dyDescent="0.25">
      <c r="C158" s="223"/>
      <c r="D158" s="223"/>
      <c r="E158" s="223"/>
      <c r="F158" s="223"/>
      <c r="G158" s="188"/>
      <c r="H158" s="188"/>
      <c r="I158" s="188"/>
      <c r="J158" s="188"/>
      <c r="K158" s="188"/>
      <c r="L158" s="188"/>
      <c r="M158" s="188"/>
      <c r="N158" s="223"/>
      <c r="O158" s="223"/>
      <c r="P158" s="223"/>
    </row>
    <row r="159" spans="2:25" x14ac:dyDescent="0.25"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4"/>
      <c r="O159" s="224"/>
      <c r="P159" s="224"/>
    </row>
    <row r="160" spans="2:25" x14ac:dyDescent="0.25"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09"/>
      <c r="O160" s="209"/>
      <c r="P160" s="209"/>
    </row>
    <row r="161" spans="7:13" x14ac:dyDescent="0.25">
      <c r="G161" s="223"/>
      <c r="H161" s="223"/>
      <c r="I161" s="223"/>
      <c r="J161" s="223"/>
      <c r="K161" s="223"/>
      <c r="L161" s="223"/>
      <c r="M161" s="223"/>
    </row>
  </sheetData>
  <sheetProtection algorithmName="SHA-512" hashValue="jIcmRl+9mjDwr8YeKiD7ovsx48uEfpsj+5hmnYnk31revhGgi+Lk+mIZkgc5qErwDHmZCL9HzTVIVFQgmfMXGw==" saltValue="xv3YNezfPZ6rbd5gKUnKhw==" spinCount="100000" sheet="1" objects="1" scenarios="1" selectLockedCells="1" selectUnlockedCells="1"/>
  <mergeCells count="179">
    <mergeCell ref="O101:Y101"/>
    <mergeCell ref="M59:O59"/>
    <mergeCell ref="U59:X59"/>
    <mergeCell ref="L50:N50"/>
    <mergeCell ref="L51:N51"/>
    <mergeCell ref="L52:N52"/>
    <mergeCell ref="O48:Q48"/>
    <mergeCell ref="O49:Q49"/>
    <mergeCell ref="O50:Q50"/>
    <mergeCell ref="O51:Q51"/>
    <mergeCell ref="O52:Q52"/>
    <mergeCell ref="R48:X48"/>
    <mergeCell ref="R49:X49"/>
    <mergeCell ref="R50:X50"/>
    <mergeCell ref="R51:X51"/>
    <mergeCell ref="R52:X52"/>
    <mergeCell ref="L12:M12"/>
    <mergeCell ref="L14:M14"/>
    <mergeCell ref="L16:M16"/>
    <mergeCell ref="L18:M18"/>
    <mergeCell ref="L8:M8"/>
    <mergeCell ref="L10:M10"/>
    <mergeCell ref="J6:O6"/>
    <mergeCell ref="Q6:W6"/>
    <mergeCell ref="C26:G27"/>
    <mergeCell ref="H26:N26"/>
    <mergeCell ref="O26:Q27"/>
    <mergeCell ref="R26:X27"/>
    <mergeCell ref="H27:K27"/>
    <mergeCell ref="L27:N27"/>
    <mergeCell ref="M22:O22"/>
    <mergeCell ref="M24:O24"/>
    <mergeCell ref="R8:T8"/>
    <mergeCell ref="R10:T10"/>
    <mergeCell ref="R12:T12"/>
    <mergeCell ref="R14:T14"/>
    <mergeCell ref="R16:T16"/>
    <mergeCell ref="R18:T18"/>
    <mergeCell ref="H30:K30"/>
    <mergeCell ref="L30:N30"/>
    <mergeCell ref="O30:Q30"/>
    <mergeCell ref="R30:X30"/>
    <mergeCell ref="H31:K31"/>
    <mergeCell ref="L31:N31"/>
    <mergeCell ref="O31:Q31"/>
    <mergeCell ref="R31:X31"/>
    <mergeCell ref="H28:K28"/>
    <mergeCell ref="L28:N28"/>
    <mergeCell ref="O28:Q28"/>
    <mergeCell ref="R28:X28"/>
    <mergeCell ref="H29:K29"/>
    <mergeCell ref="L29:N29"/>
    <mergeCell ref="O29:Q29"/>
    <mergeCell ref="R29:X29"/>
    <mergeCell ref="H32:K32"/>
    <mergeCell ref="L32:N32"/>
    <mergeCell ref="O32:Q32"/>
    <mergeCell ref="R32:X32"/>
    <mergeCell ref="AH57:AI57"/>
    <mergeCell ref="H33:K33"/>
    <mergeCell ref="L33:N33"/>
    <mergeCell ref="O33:Q33"/>
    <mergeCell ref="R33:X33"/>
    <mergeCell ref="O46:Q47"/>
    <mergeCell ref="L47:N47"/>
    <mergeCell ref="H47:K47"/>
    <mergeCell ref="H46:N46"/>
    <mergeCell ref="M42:O42"/>
    <mergeCell ref="M44:O44"/>
    <mergeCell ref="H48:K48"/>
    <mergeCell ref="H49:K49"/>
    <mergeCell ref="H50:K50"/>
    <mergeCell ref="H51:K51"/>
    <mergeCell ref="H52:K52"/>
    <mergeCell ref="L48:N48"/>
    <mergeCell ref="L49:N49"/>
    <mergeCell ref="M57:O57"/>
    <mergeCell ref="U57:X57"/>
    <mergeCell ref="B154:B156"/>
    <mergeCell ref="U75:X75"/>
    <mergeCell ref="M77:O77"/>
    <mergeCell ref="U77:X77"/>
    <mergeCell ref="H69:K69"/>
    <mergeCell ref="L69:N69"/>
    <mergeCell ref="H89:K89"/>
    <mergeCell ref="L89:N89"/>
    <mergeCell ref="O89:Q89"/>
    <mergeCell ref="R89:X89"/>
    <mergeCell ref="R84:X84"/>
    <mergeCell ref="H85:K85"/>
    <mergeCell ref="L85:N85"/>
    <mergeCell ref="O85:Q85"/>
    <mergeCell ref="R85:X85"/>
    <mergeCell ref="H86:K86"/>
    <mergeCell ref="L86:N86"/>
    <mergeCell ref="O86:Q86"/>
    <mergeCell ref="R86:X86"/>
    <mergeCell ref="H87:K87"/>
    <mergeCell ref="H81:K81"/>
    <mergeCell ref="L81:N81"/>
    <mergeCell ref="O81:Q81"/>
    <mergeCell ref="R81:X81"/>
    <mergeCell ref="H83:K83"/>
    <mergeCell ref="L83:N83"/>
    <mergeCell ref="O83:Q83"/>
    <mergeCell ref="R83:X83"/>
    <mergeCell ref="H82:K82"/>
    <mergeCell ref="L82:N82"/>
    <mergeCell ref="O82:Q82"/>
    <mergeCell ref="R82:X82"/>
    <mergeCell ref="H80:K80"/>
    <mergeCell ref="L80:N80"/>
    <mergeCell ref="L63:N63"/>
    <mergeCell ref="M75:O75"/>
    <mergeCell ref="O63:Q63"/>
    <mergeCell ref="R63:X63"/>
    <mergeCell ref="H64:K64"/>
    <mergeCell ref="L64:N64"/>
    <mergeCell ref="O64:Q64"/>
    <mergeCell ref="R64:X64"/>
    <mergeCell ref="O65:Q65"/>
    <mergeCell ref="R65:X65"/>
    <mergeCell ref="H66:K66"/>
    <mergeCell ref="L66:N66"/>
    <mergeCell ref="O66:Q66"/>
    <mergeCell ref="R66:X66"/>
    <mergeCell ref="O67:Q67"/>
    <mergeCell ref="R67:X67"/>
    <mergeCell ref="H68:K68"/>
    <mergeCell ref="H67:K67"/>
    <mergeCell ref="L67:N67"/>
    <mergeCell ref="D1:W1"/>
    <mergeCell ref="R87:X87"/>
    <mergeCell ref="H88:K88"/>
    <mergeCell ref="L88:N88"/>
    <mergeCell ref="O88:Q88"/>
    <mergeCell ref="R88:X88"/>
    <mergeCell ref="C79:G80"/>
    <mergeCell ref="H79:N79"/>
    <mergeCell ref="O79:Q80"/>
    <mergeCell ref="R79:X80"/>
    <mergeCell ref="C82:G82"/>
    <mergeCell ref="O69:Q69"/>
    <mergeCell ref="R69:X69"/>
    <mergeCell ref="H70:K70"/>
    <mergeCell ref="L70:N70"/>
    <mergeCell ref="O70:Q70"/>
    <mergeCell ref="R70:X70"/>
    <mergeCell ref="C61:G62"/>
    <mergeCell ref="H61:N61"/>
    <mergeCell ref="O61:Q62"/>
    <mergeCell ref="R61:X62"/>
    <mergeCell ref="H62:K62"/>
    <mergeCell ref="L62:N62"/>
    <mergeCell ref="L68:N68"/>
    <mergeCell ref="H35:O35"/>
    <mergeCell ref="O71:V71"/>
    <mergeCell ref="O99:Q99"/>
    <mergeCell ref="S99:X99"/>
    <mergeCell ref="O100:W100"/>
    <mergeCell ref="L98:N98"/>
    <mergeCell ref="C90:M90"/>
    <mergeCell ref="B97:C97"/>
    <mergeCell ref="D97:K97"/>
    <mergeCell ref="O97:X97"/>
    <mergeCell ref="B98:C98"/>
    <mergeCell ref="D98:G98"/>
    <mergeCell ref="O98:X98"/>
    <mergeCell ref="L87:N87"/>
    <mergeCell ref="O87:Q87"/>
    <mergeCell ref="H84:K84"/>
    <mergeCell ref="L84:N84"/>
    <mergeCell ref="O84:Q84"/>
    <mergeCell ref="R46:X47"/>
    <mergeCell ref="O68:Q68"/>
    <mergeCell ref="R68:X68"/>
    <mergeCell ref="H65:K65"/>
    <mergeCell ref="L65:N65"/>
    <mergeCell ref="H63:K63"/>
  </mergeCells>
  <conditionalFormatting sqref="C87:C88">
    <cfRule type="expression" dxfId="0" priority="1">
      <formula>$N$110="sumidouro"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Relatório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Yoshiharu Nogata</dc:creator>
  <cp:lastModifiedBy>Luan Campero Souza Francisco</cp:lastModifiedBy>
  <cp:lastPrinted>2018-10-25T11:48:54Z</cp:lastPrinted>
  <dcterms:created xsi:type="dcterms:W3CDTF">2018-10-23T11:24:46Z</dcterms:created>
  <dcterms:modified xsi:type="dcterms:W3CDTF">2023-06-30T12:08:56Z</dcterms:modified>
</cp:coreProperties>
</file>